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0" windowHeight="1170"/>
  </bookViews>
  <sheets>
    <sheet name="Смета 10 гр. по ФЕР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10 гр. по ФЕР'!$30:$30</definedName>
    <definedName name="_xlnm.Print_Area" localSheetId="0">'Смета 10 гр. по ФЕР'!$A$1:$J$298</definedName>
  </definedNames>
  <calcPr calcId="145621"/>
</workbook>
</file>

<file path=xl/calcChain.xml><?xml version="1.0" encoding="utf-8"?>
<calcChain xmlns="http://schemas.openxmlformats.org/spreadsheetml/2006/main">
  <c r="I266" i="5" l="1"/>
  <c r="I265" i="5"/>
  <c r="H265" i="5" s="1"/>
  <c r="I264" i="5"/>
  <c r="AF284" i="5"/>
  <c r="A284" i="5"/>
  <c r="H281" i="5"/>
  <c r="G281" i="5"/>
  <c r="E281" i="5"/>
  <c r="I280" i="5"/>
  <c r="C280" i="5"/>
  <c r="E280" i="5"/>
  <c r="I279" i="5"/>
  <c r="C279" i="5"/>
  <c r="E279" i="5"/>
  <c r="J278" i="5"/>
  <c r="I278" i="5"/>
  <c r="Q278" i="5"/>
  <c r="H278" i="5"/>
  <c r="G278" i="5"/>
  <c r="F278" i="5"/>
  <c r="U277" i="5"/>
  <c r="J280" i="5" s="1"/>
  <c r="S277" i="5"/>
  <c r="J279" i="5" s="1"/>
  <c r="T277" i="5"/>
  <c r="H280" i="5" s="1"/>
  <c r="R277" i="5"/>
  <c r="H279" i="5" s="1"/>
  <c r="E277" i="5"/>
  <c r="D277" i="5"/>
  <c r="I277" i="5"/>
  <c r="A277" i="5"/>
  <c r="H275" i="5"/>
  <c r="G275" i="5"/>
  <c r="E275" i="5"/>
  <c r="I274" i="5"/>
  <c r="C274" i="5"/>
  <c r="E274" i="5"/>
  <c r="I273" i="5"/>
  <c r="C273" i="5"/>
  <c r="E273" i="5"/>
  <c r="J272" i="5"/>
  <c r="I272" i="5"/>
  <c r="Q272" i="5"/>
  <c r="H272" i="5"/>
  <c r="G272" i="5"/>
  <c r="F272" i="5"/>
  <c r="U271" i="5"/>
  <c r="J274" i="5" s="1"/>
  <c r="S271" i="5"/>
  <c r="J273" i="5" s="1"/>
  <c r="T271" i="5"/>
  <c r="H274" i="5" s="1"/>
  <c r="R271" i="5"/>
  <c r="H273" i="5" s="1"/>
  <c r="E271" i="5"/>
  <c r="D271" i="5"/>
  <c r="I271" i="5"/>
  <c r="A271" i="5"/>
  <c r="AE260" i="5"/>
  <c r="A260" i="5"/>
  <c r="A257" i="5"/>
  <c r="A254" i="5"/>
  <c r="B247" i="5"/>
  <c r="A241" i="5"/>
  <c r="I228" i="5"/>
  <c r="A228" i="5"/>
  <c r="I226" i="5"/>
  <c r="C226" i="5"/>
  <c r="I26" i="5"/>
  <c r="I25" i="5"/>
  <c r="H25" i="5" s="1"/>
  <c r="I24" i="5"/>
  <c r="AF224" i="5"/>
  <c r="A224" i="5"/>
  <c r="A222" i="5"/>
  <c r="J219" i="5"/>
  <c r="I220" i="5" s="1"/>
  <c r="P220" i="5" s="1"/>
  <c r="H219" i="5"/>
  <c r="G220" i="5" s="1"/>
  <c r="O220" i="5" s="1"/>
  <c r="I219" i="5"/>
  <c r="G219" i="5"/>
  <c r="F219" i="5"/>
  <c r="U219" i="5"/>
  <c r="S219" i="5"/>
  <c r="T219" i="5"/>
  <c r="R219" i="5"/>
  <c r="E219" i="5"/>
  <c r="D219" i="5"/>
  <c r="C219" i="5"/>
  <c r="B219" i="5"/>
  <c r="A219" i="5"/>
  <c r="J217" i="5"/>
  <c r="I218" i="5" s="1"/>
  <c r="P218" i="5" s="1"/>
  <c r="H217" i="5"/>
  <c r="G218" i="5" s="1"/>
  <c r="O218" i="5" s="1"/>
  <c r="I217" i="5"/>
  <c r="G217" i="5"/>
  <c r="F217" i="5"/>
  <c r="U217" i="5"/>
  <c r="S217" i="5"/>
  <c r="T217" i="5"/>
  <c r="R217" i="5"/>
  <c r="E217" i="5"/>
  <c r="D217" i="5"/>
  <c r="C217" i="5"/>
  <c r="B217" i="5"/>
  <c r="A217" i="5"/>
  <c r="J215" i="5"/>
  <c r="I216" i="5" s="1"/>
  <c r="P216" i="5" s="1"/>
  <c r="H215" i="5"/>
  <c r="G216" i="5" s="1"/>
  <c r="O216" i="5" s="1"/>
  <c r="I215" i="5"/>
  <c r="G215" i="5"/>
  <c r="F215" i="5"/>
  <c r="U215" i="5"/>
  <c r="S215" i="5"/>
  <c r="T215" i="5"/>
  <c r="R215" i="5"/>
  <c r="E215" i="5"/>
  <c r="D215" i="5"/>
  <c r="C215" i="5"/>
  <c r="B215" i="5"/>
  <c r="A215" i="5"/>
  <c r="J213" i="5"/>
  <c r="I214" i="5" s="1"/>
  <c r="P214" i="5" s="1"/>
  <c r="H213" i="5"/>
  <c r="G214" i="5" s="1"/>
  <c r="O214" i="5" s="1"/>
  <c r="I213" i="5"/>
  <c r="G213" i="5"/>
  <c r="F213" i="5"/>
  <c r="U213" i="5"/>
  <c r="S213" i="5"/>
  <c r="T213" i="5"/>
  <c r="R213" i="5"/>
  <c r="E213" i="5"/>
  <c r="D213" i="5"/>
  <c r="C213" i="5"/>
  <c r="B213" i="5"/>
  <c r="A213" i="5"/>
  <c r="J211" i="5"/>
  <c r="I212" i="5" s="1"/>
  <c r="P212" i="5" s="1"/>
  <c r="H211" i="5"/>
  <c r="G212" i="5" s="1"/>
  <c r="O212" i="5" s="1"/>
  <c r="I211" i="5"/>
  <c r="G211" i="5"/>
  <c r="F211" i="5"/>
  <c r="U211" i="5"/>
  <c r="S211" i="5"/>
  <c r="T211" i="5"/>
  <c r="R211" i="5"/>
  <c r="E211" i="5"/>
  <c r="D211" i="5"/>
  <c r="C211" i="5"/>
  <c r="B211" i="5"/>
  <c r="A211" i="5"/>
  <c r="H209" i="5"/>
  <c r="G209" i="5"/>
  <c r="E209" i="5"/>
  <c r="I208" i="5"/>
  <c r="C208" i="5"/>
  <c r="E208" i="5"/>
  <c r="I207" i="5"/>
  <c r="C207" i="5"/>
  <c r="E207" i="5"/>
  <c r="J206" i="5"/>
  <c r="I206" i="5"/>
  <c r="Q206" i="5"/>
  <c r="H206" i="5"/>
  <c r="G206" i="5"/>
  <c r="F206" i="5"/>
  <c r="J205" i="5"/>
  <c r="I205" i="5"/>
  <c r="H205" i="5"/>
  <c r="G205" i="5"/>
  <c r="F205" i="5"/>
  <c r="J204" i="5"/>
  <c r="I204" i="5"/>
  <c r="Q204" i="5"/>
  <c r="H204" i="5"/>
  <c r="G204" i="5"/>
  <c r="F204" i="5"/>
  <c r="U203" i="5"/>
  <c r="J208" i="5" s="1"/>
  <c r="S203" i="5"/>
  <c r="J207" i="5" s="1"/>
  <c r="T203" i="5"/>
  <c r="H208" i="5" s="1"/>
  <c r="R203" i="5"/>
  <c r="H207" i="5" s="1"/>
  <c r="E203" i="5"/>
  <c r="D203" i="5"/>
  <c r="I203" i="5"/>
  <c r="A203" i="5"/>
  <c r="H201" i="5"/>
  <c r="G201" i="5"/>
  <c r="E201" i="5"/>
  <c r="I200" i="5"/>
  <c r="C200" i="5"/>
  <c r="E200" i="5"/>
  <c r="I199" i="5"/>
  <c r="C199" i="5"/>
  <c r="E199" i="5"/>
  <c r="J198" i="5"/>
  <c r="I198" i="5"/>
  <c r="Q198" i="5"/>
  <c r="H198" i="5"/>
  <c r="G198" i="5"/>
  <c r="F198" i="5"/>
  <c r="J197" i="5"/>
  <c r="I197" i="5"/>
  <c r="H197" i="5"/>
  <c r="G197" i="5"/>
  <c r="F197" i="5"/>
  <c r="J196" i="5"/>
  <c r="I196" i="5"/>
  <c r="Q196" i="5"/>
  <c r="H196" i="5"/>
  <c r="G196" i="5"/>
  <c r="F196" i="5"/>
  <c r="U195" i="5"/>
  <c r="J200" i="5" s="1"/>
  <c r="S195" i="5"/>
  <c r="J199" i="5" s="1"/>
  <c r="T195" i="5"/>
  <c r="H200" i="5" s="1"/>
  <c r="R195" i="5"/>
  <c r="H199" i="5" s="1"/>
  <c r="E195" i="5"/>
  <c r="D195" i="5"/>
  <c r="I195" i="5"/>
  <c r="A195" i="5"/>
  <c r="H193" i="5"/>
  <c r="G193" i="5"/>
  <c r="E193" i="5"/>
  <c r="I192" i="5"/>
  <c r="C192" i="5"/>
  <c r="E192" i="5"/>
  <c r="I191" i="5"/>
  <c r="C191" i="5"/>
  <c r="E191" i="5"/>
  <c r="J190" i="5"/>
  <c r="I190" i="5"/>
  <c r="Q190" i="5"/>
  <c r="H190" i="5"/>
  <c r="G190" i="5"/>
  <c r="F190" i="5"/>
  <c r="J189" i="5"/>
  <c r="I189" i="5"/>
  <c r="H189" i="5"/>
  <c r="G189" i="5"/>
  <c r="F189" i="5"/>
  <c r="J188" i="5"/>
  <c r="I188" i="5"/>
  <c r="Q188" i="5"/>
  <c r="H188" i="5"/>
  <c r="G188" i="5"/>
  <c r="F188" i="5"/>
  <c r="U187" i="5"/>
  <c r="J192" i="5" s="1"/>
  <c r="S187" i="5"/>
  <c r="J191" i="5" s="1"/>
  <c r="T187" i="5"/>
  <c r="H192" i="5" s="1"/>
  <c r="R187" i="5"/>
  <c r="H191" i="5" s="1"/>
  <c r="E187" i="5"/>
  <c r="D187" i="5"/>
  <c r="I187" i="5"/>
  <c r="A187" i="5"/>
  <c r="H185" i="5"/>
  <c r="G185" i="5"/>
  <c r="E185" i="5"/>
  <c r="I184" i="5"/>
  <c r="C184" i="5"/>
  <c r="E184" i="5"/>
  <c r="I183" i="5"/>
  <c r="C183" i="5"/>
  <c r="E183" i="5"/>
  <c r="J182" i="5"/>
  <c r="I182" i="5"/>
  <c r="Q182" i="5"/>
  <c r="H182" i="5"/>
  <c r="G182" i="5"/>
  <c r="F182" i="5"/>
  <c r="U181" i="5"/>
  <c r="J184" i="5" s="1"/>
  <c r="S181" i="5"/>
  <c r="J183" i="5" s="1"/>
  <c r="T181" i="5"/>
  <c r="H184" i="5" s="1"/>
  <c r="R181" i="5"/>
  <c r="H183" i="5" s="1"/>
  <c r="E181" i="5"/>
  <c r="D181" i="5"/>
  <c r="I181" i="5"/>
  <c r="A181" i="5"/>
  <c r="H179" i="5"/>
  <c r="G179" i="5"/>
  <c r="E179" i="5"/>
  <c r="I178" i="5"/>
  <c r="C178" i="5"/>
  <c r="E178" i="5"/>
  <c r="I177" i="5"/>
  <c r="C177" i="5"/>
  <c r="E177" i="5"/>
  <c r="J176" i="5"/>
  <c r="I176" i="5"/>
  <c r="Q176" i="5"/>
  <c r="H176" i="5"/>
  <c r="G176" i="5"/>
  <c r="F176" i="5"/>
  <c r="J175" i="5"/>
  <c r="I175" i="5"/>
  <c r="H175" i="5"/>
  <c r="G175" i="5"/>
  <c r="F175" i="5"/>
  <c r="J174" i="5"/>
  <c r="I174" i="5"/>
  <c r="Q174" i="5"/>
  <c r="H174" i="5"/>
  <c r="G174" i="5"/>
  <c r="F174" i="5"/>
  <c r="U173" i="5"/>
  <c r="J178" i="5" s="1"/>
  <c r="S173" i="5"/>
  <c r="J177" i="5" s="1"/>
  <c r="T173" i="5"/>
  <c r="H178" i="5" s="1"/>
  <c r="R173" i="5"/>
  <c r="H177" i="5" s="1"/>
  <c r="E173" i="5"/>
  <c r="D173" i="5"/>
  <c r="I173" i="5"/>
  <c r="A173" i="5"/>
  <c r="A172" i="5"/>
  <c r="I170" i="5"/>
  <c r="A170" i="5"/>
  <c r="I168" i="5"/>
  <c r="C168" i="5"/>
  <c r="A166" i="5"/>
  <c r="G164" i="5"/>
  <c r="O164" i="5" s="1"/>
  <c r="I164" i="5"/>
  <c r="P164" i="5" s="1"/>
  <c r="J163" i="5"/>
  <c r="I163" i="5"/>
  <c r="H163" i="5"/>
  <c r="G163" i="5"/>
  <c r="F163" i="5"/>
  <c r="U163" i="5"/>
  <c r="S163" i="5"/>
  <c r="T163" i="5"/>
  <c r="R163" i="5"/>
  <c r="E163" i="5"/>
  <c r="D163" i="5"/>
  <c r="B163" i="5"/>
  <c r="A163" i="5"/>
  <c r="J161" i="5"/>
  <c r="I162" i="5" s="1"/>
  <c r="P162" i="5" s="1"/>
  <c r="H161" i="5"/>
  <c r="G162" i="5" s="1"/>
  <c r="O162" i="5" s="1"/>
  <c r="I161" i="5"/>
  <c r="G161" i="5"/>
  <c r="F161" i="5"/>
  <c r="U161" i="5"/>
  <c r="S161" i="5"/>
  <c r="T161" i="5"/>
  <c r="R161" i="5"/>
  <c r="E161" i="5"/>
  <c r="D161" i="5"/>
  <c r="C161" i="5"/>
  <c r="B161" i="5"/>
  <c r="A161" i="5"/>
  <c r="J159" i="5"/>
  <c r="I160" i="5" s="1"/>
  <c r="P160" i="5" s="1"/>
  <c r="H159" i="5"/>
  <c r="G160" i="5" s="1"/>
  <c r="O160" i="5" s="1"/>
  <c r="I159" i="5"/>
  <c r="G159" i="5"/>
  <c r="F159" i="5"/>
  <c r="U159" i="5"/>
  <c r="S159" i="5"/>
  <c r="T159" i="5"/>
  <c r="R159" i="5"/>
  <c r="E159" i="5"/>
  <c r="D159" i="5"/>
  <c r="C159" i="5"/>
  <c r="B159" i="5"/>
  <c r="A159" i="5"/>
  <c r="H157" i="5"/>
  <c r="G157" i="5"/>
  <c r="E157" i="5"/>
  <c r="I156" i="5"/>
  <c r="C156" i="5"/>
  <c r="E156" i="5"/>
  <c r="I155" i="5"/>
  <c r="C155" i="5"/>
  <c r="E155" i="5"/>
  <c r="J154" i="5"/>
  <c r="I154" i="5"/>
  <c r="H154" i="5"/>
  <c r="F154" i="5"/>
  <c r="U154" i="5"/>
  <c r="S154" i="5"/>
  <c r="T154" i="5"/>
  <c r="R154" i="5"/>
  <c r="E154" i="5"/>
  <c r="D154" i="5"/>
  <c r="C154" i="5"/>
  <c r="B154" i="5"/>
  <c r="A154" i="5"/>
  <c r="J153" i="5"/>
  <c r="I153" i="5"/>
  <c r="H153" i="5"/>
  <c r="G153" i="5"/>
  <c r="F153" i="5"/>
  <c r="J152" i="5"/>
  <c r="I152" i="5"/>
  <c r="Q152" i="5"/>
  <c r="H152" i="5"/>
  <c r="G152" i="5"/>
  <c r="F152" i="5"/>
  <c r="J151" i="5"/>
  <c r="I151" i="5"/>
  <c r="H151" i="5"/>
  <c r="G151" i="5"/>
  <c r="F151" i="5"/>
  <c r="J150" i="5"/>
  <c r="I150" i="5"/>
  <c r="Q150" i="5"/>
  <c r="H150" i="5"/>
  <c r="G150" i="5"/>
  <c r="F150" i="5"/>
  <c r="U149" i="5"/>
  <c r="S149" i="5"/>
  <c r="T149" i="5"/>
  <c r="R149" i="5"/>
  <c r="E149" i="5"/>
  <c r="D149" i="5"/>
  <c r="I149" i="5"/>
  <c r="A149" i="5"/>
  <c r="H147" i="5"/>
  <c r="G147" i="5"/>
  <c r="E147" i="5"/>
  <c r="I146" i="5"/>
  <c r="C146" i="5"/>
  <c r="E146" i="5"/>
  <c r="I145" i="5"/>
  <c r="C145" i="5"/>
  <c r="E145" i="5"/>
  <c r="J144" i="5"/>
  <c r="I144" i="5"/>
  <c r="H144" i="5"/>
  <c r="G144" i="5"/>
  <c r="F144" i="5"/>
  <c r="J143" i="5"/>
  <c r="I143" i="5"/>
  <c r="Q143" i="5"/>
  <c r="H143" i="5"/>
  <c r="G143" i="5"/>
  <c r="F143" i="5"/>
  <c r="U142" i="5"/>
  <c r="J146" i="5" s="1"/>
  <c r="S142" i="5"/>
  <c r="J145" i="5" s="1"/>
  <c r="T142" i="5"/>
  <c r="H146" i="5" s="1"/>
  <c r="R142" i="5"/>
  <c r="H145" i="5" s="1"/>
  <c r="E142" i="5"/>
  <c r="D142" i="5"/>
  <c r="I142" i="5"/>
  <c r="A142" i="5"/>
  <c r="H140" i="5"/>
  <c r="G140" i="5"/>
  <c r="E140" i="5"/>
  <c r="I139" i="5"/>
  <c r="C139" i="5"/>
  <c r="E139" i="5"/>
  <c r="I138" i="5"/>
  <c r="C138" i="5"/>
  <c r="E138" i="5"/>
  <c r="J137" i="5"/>
  <c r="I137" i="5"/>
  <c r="Q137" i="5"/>
  <c r="H137" i="5"/>
  <c r="G137" i="5"/>
  <c r="F137" i="5"/>
  <c r="U136" i="5"/>
  <c r="J139" i="5" s="1"/>
  <c r="S136" i="5"/>
  <c r="J138" i="5" s="1"/>
  <c r="T136" i="5"/>
  <c r="H139" i="5" s="1"/>
  <c r="R136" i="5"/>
  <c r="H138" i="5" s="1"/>
  <c r="E136" i="5"/>
  <c r="D136" i="5"/>
  <c r="I136" i="5"/>
  <c r="A136" i="5"/>
  <c r="H134" i="5"/>
  <c r="G134" i="5"/>
  <c r="E134" i="5"/>
  <c r="I133" i="5"/>
  <c r="C133" i="5"/>
  <c r="E133" i="5"/>
  <c r="I132" i="5"/>
  <c r="C132" i="5"/>
  <c r="E132" i="5"/>
  <c r="J131" i="5"/>
  <c r="I131" i="5"/>
  <c r="H131" i="5"/>
  <c r="G131" i="5"/>
  <c r="F131" i="5"/>
  <c r="J130" i="5"/>
  <c r="I130" i="5"/>
  <c r="Q130" i="5"/>
  <c r="H130" i="5"/>
  <c r="G130" i="5"/>
  <c r="F130" i="5"/>
  <c r="U129" i="5"/>
  <c r="J133" i="5" s="1"/>
  <c r="S129" i="5"/>
  <c r="J132" i="5" s="1"/>
  <c r="T129" i="5"/>
  <c r="H133" i="5" s="1"/>
  <c r="R129" i="5"/>
  <c r="H132" i="5" s="1"/>
  <c r="E129" i="5"/>
  <c r="D129" i="5"/>
  <c r="I129" i="5"/>
  <c r="A129" i="5"/>
  <c r="H127" i="5"/>
  <c r="G127" i="5"/>
  <c r="E127" i="5"/>
  <c r="I126" i="5"/>
  <c r="C126" i="5"/>
  <c r="E126" i="5"/>
  <c r="I125" i="5"/>
  <c r="C125" i="5"/>
  <c r="E125" i="5"/>
  <c r="J124" i="5"/>
  <c r="I124" i="5"/>
  <c r="H124" i="5"/>
  <c r="F124" i="5"/>
  <c r="U124" i="5"/>
  <c r="S124" i="5"/>
  <c r="T124" i="5"/>
  <c r="R124" i="5"/>
  <c r="E124" i="5"/>
  <c r="D124" i="5"/>
  <c r="B124" i="5"/>
  <c r="A124" i="5"/>
  <c r="J123" i="5"/>
  <c r="I123" i="5"/>
  <c r="H123" i="5"/>
  <c r="G123" i="5"/>
  <c r="F123" i="5"/>
  <c r="J122" i="5"/>
  <c r="I122" i="5"/>
  <c r="Q122" i="5"/>
  <c r="H122" i="5"/>
  <c r="G122" i="5"/>
  <c r="F122" i="5"/>
  <c r="J121" i="5"/>
  <c r="I121" i="5"/>
  <c r="H121" i="5"/>
  <c r="G121" i="5"/>
  <c r="F121" i="5"/>
  <c r="J120" i="5"/>
  <c r="I120" i="5"/>
  <c r="Q120" i="5"/>
  <c r="H120" i="5"/>
  <c r="G120" i="5"/>
  <c r="F120" i="5"/>
  <c r="U119" i="5"/>
  <c r="S119" i="5"/>
  <c r="T119" i="5"/>
  <c r="R119" i="5"/>
  <c r="E119" i="5"/>
  <c r="D119" i="5"/>
  <c r="I119" i="5"/>
  <c r="A119" i="5"/>
  <c r="H117" i="5"/>
  <c r="G117" i="5"/>
  <c r="E117" i="5"/>
  <c r="I116" i="5"/>
  <c r="C116" i="5"/>
  <c r="E116" i="5"/>
  <c r="I115" i="5"/>
  <c r="C115" i="5"/>
  <c r="E115" i="5"/>
  <c r="J114" i="5"/>
  <c r="I114" i="5"/>
  <c r="H114" i="5"/>
  <c r="F114" i="5"/>
  <c r="U114" i="5"/>
  <c r="S114" i="5"/>
  <c r="T114" i="5"/>
  <c r="R114" i="5"/>
  <c r="E114" i="5"/>
  <c r="D114" i="5"/>
  <c r="B114" i="5"/>
  <c r="A114" i="5"/>
  <c r="J113" i="5"/>
  <c r="I113" i="5"/>
  <c r="H113" i="5"/>
  <c r="G113" i="5"/>
  <c r="F113" i="5"/>
  <c r="J112" i="5"/>
  <c r="I112" i="5"/>
  <c r="Q112" i="5"/>
  <c r="H112" i="5"/>
  <c r="G112" i="5"/>
  <c r="F112" i="5"/>
  <c r="U111" i="5"/>
  <c r="S111" i="5"/>
  <c r="T111" i="5"/>
  <c r="R111" i="5"/>
  <c r="E111" i="5"/>
  <c r="D111" i="5"/>
  <c r="I111" i="5"/>
  <c r="A111" i="5"/>
  <c r="H109" i="5"/>
  <c r="G109" i="5"/>
  <c r="E109" i="5"/>
  <c r="I108" i="5"/>
  <c r="C108" i="5"/>
  <c r="E108" i="5"/>
  <c r="I107" i="5"/>
  <c r="C107" i="5"/>
  <c r="E107" i="5"/>
  <c r="J106" i="5"/>
  <c r="I106" i="5"/>
  <c r="H106" i="5"/>
  <c r="F106" i="5"/>
  <c r="U106" i="5"/>
  <c r="S106" i="5"/>
  <c r="T106" i="5"/>
  <c r="R106" i="5"/>
  <c r="E106" i="5"/>
  <c r="D106" i="5"/>
  <c r="B106" i="5"/>
  <c r="A106" i="5"/>
  <c r="J105" i="5"/>
  <c r="I105" i="5"/>
  <c r="H105" i="5"/>
  <c r="G105" i="5"/>
  <c r="F105" i="5"/>
  <c r="J104" i="5"/>
  <c r="I104" i="5"/>
  <c r="Q104" i="5"/>
  <c r="H104" i="5"/>
  <c r="G104" i="5"/>
  <c r="F104" i="5"/>
  <c r="J103" i="5"/>
  <c r="I103" i="5"/>
  <c r="H103" i="5"/>
  <c r="G103" i="5"/>
  <c r="F103" i="5"/>
  <c r="J102" i="5"/>
  <c r="I102" i="5"/>
  <c r="Q102" i="5"/>
  <c r="H102" i="5"/>
  <c r="G102" i="5"/>
  <c r="F102" i="5"/>
  <c r="U101" i="5"/>
  <c r="S101" i="5"/>
  <c r="T101" i="5"/>
  <c r="R101" i="5"/>
  <c r="E101" i="5"/>
  <c r="D101" i="5"/>
  <c r="I101" i="5"/>
  <c r="A101" i="5"/>
  <c r="H99" i="5"/>
  <c r="G99" i="5"/>
  <c r="E99" i="5"/>
  <c r="I98" i="5"/>
  <c r="C98" i="5"/>
  <c r="E98" i="5"/>
  <c r="I97" i="5"/>
  <c r="C97" i="5"/>
  <c r="E97" i="5"/>
  <c r="J96" i="5"/>
  <c r="I96" i="5"/>
  <c r="H96" i="5"/>
  <c r="F96" i="5"/>
  <c r="U96" i="5"/>
  <c r="S96" i="5"/>
  <c r="T96" i="5"/>
  <c r="R96" i="5"/>
  <c r="E96" i="5"/>
  <c r="D96" i="5"/>
  <c r="C96" i="5"/>
  <c r="B96" i="5"/>
  <c r="A96" i="5"/>
  <c r="J95" i="5"/>
  <c r="I95" i="5"/>
  <c r="Q95" i="5"/>
  <c r="H95" i="5"/>
  <c r="G95" i="5"/>
  <c r="F95" i="5"/>
  <c r="U94" i="5"/>
  <c r="S94" i="5"/>
  <c r="T94" i="5"/>
  <c r="R94" i="5"/>
  <c r="E94" i="5"/>
  <c r="D94" i="5"/>
  <c r="I94" i="5"/>
  <c r="A94" i="5"/>
  <c r="H92" i="5"/>
  <c r="G92" i="5"/>
  <c r="E92" i="5"/>
  <c r="I91" i="5"/>
  <c r="C91" i="5"/>
  <c r="E91" i="5"/>
  <c r="I90" i="5"/>
  <c r="C90" i="5"/>
  <c r="E90" i="5"/>
  <c r="J89" i="5"/>
  <c r="I89" i="5"/>
  <c r="H89" i="5"/>
  <c r="F89" i="5"/>
  <c r="U89" i="5"/>
  <c r="S89" i="5"/>
  <c r="T89" i="5"/>
  <c r="R89" i="5"/>
  <c r="E89" i="5"/>
  <c r="D89" i="5"/>
  <c r="B89" i="5"/>
  <c r="A89" i="5"/>
  <c r="J88" i="5"/>
  <c r="I88" i="5"/>
  <c r="H88" i="5"/>
  <c r="G88" i="5"/>
  <c r="F88" i="5"/>
  <c r="J87" i="5"/>
  <c r="I87" i="5"/>
  <c r="Q87" i="5"/>
  <c r="H87" i="5"/>
  <c r="G87" i="5"/>
  <c r="F87" i="5"/>
  <c r="J86" i="5"/>
  <c r="I86" i="5"/>
  <c r="H86" i="5"/>
  <c r="G86" i="5"/>
  <c r="F86" i="5"/>
  <c r="J85" i="5"/>
  <c r="I85" i="5"/>
  <c r="Q85" i="5"/>
  <c r="H85" i="5"/>
  <c r="G85" i="5"/>
  <c r="F85" i="5"/>
  <c r="U84" i="5"/>
  <c r="S84" i="5"/>
  <c r="T84" i="5"/>
  <c r="R84" i="5"/>
  <c r="E84" i="5"/>
  <c r="D84" i="5"/>
  <c r="I84" i="5"/>
  <c r="A84" i="5"/>
  <c r="H82" i="5"/>
  <c r="G82" i="5"/>
  <c r="E82" i="5"/>
  <c r="I81" i="5"/>
  <c r="C81" i="5"/>
  <c r="E81" i="5"/>
  <c r="I80" i="5"/>
  <c r="C80" i="5"/>
  <c r="E80" i="5"/>
  <c r="J79" i="5"/>
  <c r="I79" i="5"/>
  <c r="H79" i="5"/>
  <c r="F79" i="5"/>
  <c r="U79" i="5"/>
  <c r="S79" i="5"/>
  <c r="T79" i="5"/>
  <c r="R79" i="5"/>
  <c r="E79" i="5"/>
  <c r="D79" i="5"/>
  <c r="B79" i="5"/>
  <c r="A79" i="5"/>
  <c r="J78" i="5"/>
  <c r="I78" i="5"/>
  <c r="H78" i="5"/>
  <c r="G78" i="5"/>
  <c r="F78" i="5"/>
  <c r="J77" i="5"/>
  <c r="I77" i="5"/>
  <c r="Q77" i="5"/>
  <c r="H77" i="5"/>
  <c r="G77" i="5"/>
  <c r="F77" i="5"/>
  <c r="J76" i="5"/>
  <c r="I76" i="5"/>
  <c r="H76" i="5"/>
  <c r="G76" i="5"/>
  <c r="F76" i="5"/>
  <c r="J75" i="5"/>
  <c r="I75" i="5"/>
  <c r="Q75" i="5"/>
  <c r="H75" i="5"/>
  <c r="G75" i="5"/>
  <c r="F75" i="5"/>
  <c r="U74" i="5"/>
  <c r="S74" i="5"/>
  <c r="T74" i="5"/>
  <c r="R74" i="5"/>
  <c r="E74" i="5"/>
  <c r="D74" i="5"/>
  <c r="I74" i="5"/>
  <c r="A74" i="5"/>
  <c r="H72" i="5"/>
  <c r="G72" i="5"/>
  <c r="E72" i="5"/>
  <c r="I71" i="5"/>
  <c r="C71" i="5"/>
  <c r="E71" i="5"/>
  <c r="I70" i="5"/>
  <c r="C70" i="5"/>
  <c r="E70" i="5"/>
  <c r="J69" i="5"/>
  <c r="I69" i="5"/>
  <c r="H69" i="5"/>
  <c r="F69" i="5"/>
  <c r="U69" i="5"/>
  <c r="S69" i="5"/>
  <c r="T69" i="5"/>
  <c r="R69" i="5"/>
  <c r="E69" i="5"/>
  <c r="D69" i="5"/>
  <c r="C69" i="5"/>
  <c r="B69" i="5"/>
  <c r="A69" i="5"/>
  <c r="J68" i="5"/>
  <c r="I68" i="5"/>
  <c r="H68" i="5"/>
  <c r="G68" i="5"/>
  <c r="F68" i="5"/>
  <c r="J67" i="5"/>
  <c r="I67" i="5"/>
  <c r="Q67" i="5"/>
  <c r="H67" i="5"/>
  <c r="G67" i="5"/>
  <c r="F67" i="5"/>
  <c r="J66" i="5"/>
  <c r="I66" i="5"/>
  <c r="H66" i="5"/>
  <c r="G66" i="5"/>
  <c r="F66" i="5"/>
  <c r="J65" i="5"/>
  <c r="I65" i="5"/>
  <c r="Q65" i="5"/>
  <c r="H65" i="5"/>
  <c r="G65" i="5"/>
  <c r="F65" i="5"/>
  <c r="U64" i="5"/>
  <c r="S64" i="5"/>
  <c r="T64" i="5"/>
  <c r="R64" i="5"/>
  <c r="E64" i="5"/>
  <c r="D64" i="5"/>
  <c r="I64" i="5"/>
  <c r="A64" i="5"/>
  <c r="H62" i="5"/>
  <c r="G62" i="5"/>
  <c r="E62" i="5"/>
  <c r="I61" i="5"/>
  <c r="C61" i="5"/>
  <c r="E61" i="5"/>
  <c r="I60" i="5"/>
  <c r="C60" i="5"/>
  <c r="E60" i="5"/>
  <c r="J59" i="5"/>
  <c r="I59" i="5"/>
  <c r="Q59" i="5"/>
  <c r="H59" i="5"/>
  <c r="G59" i="5"/>
  <c r="F59" i="5"/>
  <c r="U58" i="5"/>
  <c r="J61" i="5" s="1"/>
  <c r="S58" i="5"/>
  <c r="J60" i="5" s="1"/>
  <c r="T58" i="5"/>
  <c r="H61" i="5" s="1"/>
  <c r="R58" i="5"/>
  <c r="H60" i="5" s="1"/>
  <c r="E58" i="5"/>
  <c r="D58" i="5"/>
  <c r="I58" i="5"/>
  <c r="A58" i="5"/>
  <c r="J56" i="5"/>
  <c r="I57" i="5" s="1"/>
  <c r="P57" i="5" s="1"/>
  <c r="H56" i="5"/>
  <c r="G57" i="5" s="1"/>
  <c r="O57" i="5" s="1"/>
  <c r="I56" i="5"/>
  <c r="G56" i="5"/>
  <c r="F56" i="5"/>
  <c r="U56" i="5"/>
  <c r="S56" i="5"/>
  <c r="T56" i="5"/>
  <c r="R56" i="5"/>
  <c r="E56" i="5"/>
  <c r="D56" i="5"/>
  <c r="C56" i="5"/>
  <c r="B56" i="5"/>
  <c r="A56" i="5"/>
  <c r="H54" i="5"/>
  <c r="G54" i="5"/>
  <c r="E54" i="5"/>
  <c r="I53" i="5"/>
  <c r="C53" i="5"/>
  <c r="E53" i="5"/>
  <c r="I52" i="5"/>
  <c r="C52" i="5"/>
  <c r="E52" i="5"/>
  <c r="J51" i="5"/>
  <c r="I51" i="5"/>
  <c r="Q51" i="5"/>
  <c r="H51" i="5"/>
  <c r="G51" i="5"/>
  <c r="F51" i="5"/>
  <c r="J50" i="5"/>
  <c r="I50" i="5"/>
  <c r="H50" i="5"/>
  <c r="G50" i="5"/>
  <c r="F50" i="5"/>
  <c r="J49" i="5"/>
  <c r="I49" i="5"/>
  <c r="Q49" i="5"/>
  <c r="H49" i="5"/>
  <c r="G49" i="5"/>
  <c r="F49" i="5"/>
  <c r="U48" i="5"/>
  <c r="J53" i="5" s="1"/>
  <c r="S48" i="5"/>
  <c r="J52" i="5" s="1"/>
  <c r="T48" i="5"/>
  <c r="H53" i="5" s="1"/>
  <c r="R48" i="5"/>
  <c r="H52" i="5" s="1"/>
  <c r="E48" i="5"/>
  <c r="D48" i="5"/>
  <c r="I48" i="5"/>
  <c r="A48" i="5"/>
  <c r="G47" i="5"/>
  <c r="O47" i="5" s="1"/>
  <c r="I47" i="5"/>
  <c r="P47" i="5" s="1"/>
  <c r="J46" i="5"/>
  <c r="I46" i="5"/>
  <c r="H46" i="5"/>
  <c r="G46" i="5"/>
  <c r="F46" i="5"/>
  <c r="U46" i="5"/>
  <c r="S46" i="5"/>
  <c r="T46" i="5"/>
  <c r="R46" i="5"/>
  <c r="E46" i="5"/>
  <c r="D46" i="5"/>
  <c r="C46" i="5"/>
  <c r="B46" i="5"/>
  <c r="A46" i="5"/>
  <c r="H44" i="5"/>
  <c r="G44" i="5"/>
  <c r="E44" i="5"/>
  <c r="I43" i="5"/>
  <c r="C43" i="5"/>
  <c r="E43" i="5"/>
  <c r="I42" i="5"/>
  <c r="C42" i="5"/>
  <c r="E42" i="5"/>
  <c r="J41" i="5"/>
  <c r="I41" i="5"/>
  <c r="H41" i="5"/>
  <c r="G41" i="5"/>
  <c r="F41" i="5"/>
  <c r="J40" i="5"/>
  <c r="I40" i="5"/>
  <c r="Q40" i="5"/>
  <c r="H40" i="5"/>
  <c r="G40" i="5"/>
  <c r="F40" i="5"/>
  <c r="J39" i="5"/>
  <c r="I39" i="5"/>
  <c r="H39" i="5"/>
  <c r="G39" i="5"/>
  <c r="F39" i="5"/>
  <c r="J38" i="5"/>
  <c r="I38" i="5"/>
  <c r="Q38" i="5"/>
  <c r="H38" i="5"/>
  <c r="G38" i="5"/>
  <c r="F38" i="5"/>
  <c r="U37" i="5"/>
  <c r="J43" i="5" s="1"/>
  <c r="S37" i="5"/>
  <c r="J42" i="5" s="1"/>
  <c r="T37" i="5"/>
  <c r="H43" i="5" s="1"/>
  <c r="R37" i="5"/>
  <c r="H42" i="5" s="1"/>
  <c r="E37" i="5"/>
  <c r="D37" i="5"/>
  <c r="I37" i="5"/>
  <c r="A37" i="5"/>
  <c r="J35" i="5"/>
  <c r="I36" i="5" s="1"/>
  <c r="P36" i="5" s="1"/>
  <c r="H35" i="5"/>
  <c r="G36" i="5" s="1"/>
  <c r="O36" i="5" s="1"/>
  <c r="I35" i="5"/>
  <c r="G35" i="5"/>
  <c r="F35" i="5"/>
  <c r="U35" i="5"/>
  <c r="S35" i="5"/>
  <c r="T35" i="5"/>
  <c r="R35" i="5"/>
  <c r="E35" i="5"/>
  <c r="D35" i="5"/>
  <c r="C35" i="5"/>
  <c r="B35" i="5"/>
  <c r="A35" i="5"/>
  <c r="J33" i="5"/>
  <c r="I34" i="5" s="1"/>
  <c r="P34" i="5" s="1"/>
  <c r="H33" i="5"/>
  <c r="G34" i="5" s="1"/>
  <c r="O34" i="5" s="1"/>
  <c r="I33" i="5"/>
  <c r="G33" i="5"/>
  <c r="F33" i="5"/>
  <c r="U33" i="5"/>
  <c r="S33" i="5"/>
  <c r="T33" i="5"/>
  <c r="R33" i="5"/>
  <c r="E33" i="5"/>
  <c r="D33" i="5"/>
  <c r="C33" i="5"/>
  <c r="B33" i="5"/>
  <c r="A33" i="5"/>
  <c r="A32" i="5"/>
  <c r="AE20" i="5"/>
  <c r="A20" i="5"/>
  <c r="A17" i="5"/>
  <c r="A14" i="5"/>
  <c r="B7" i="5"/>
  <c r="A1" i="5"/>
  <c r="G148" i="5" l="1"/>
  <c r="O148" i="5" s="1"/>
  <c r="G55" i="5"/>
  <c r="O55" i="5" s="1"/>
  <c r="G194" i="5"/>
  <c r="O194" i="5" s="1"/>
  <c r="H71" i="5"/>
  <c r="H115" i="5"/>
  <c r="J80" i="5"/>
  <c r="J91" i="5"/>
  <c r="H107" i="5"/>
  <c r="G186" i="5"/>
  <c r="O186" i="5" s="1"/>
  <c r="H91" i="5"/>
  <c r="H266" i="5"/>
  <c r="I45" i="5"/>
  <c r="P45" i="5" s="1"/>
  <c r="H98" i="5"/>
  <c r="J116" i="5"/>
  <c r="J125" i="5"/>
  <c r="J107" i="5"/>
  <c r="G180" i="5"/>
  <c r="O180" i="5" s="1"/>
  <c r="H126" i="5"/>
  <c r="I135" i="5"/>
  <c r="P135" i="5" s="1"/>
  <c r="I141" i="5"/>
  <c r="P141" i="5" s="1"/>
  <c r="J90" i="5"/>
  <c r="G276" i="5"/>
  <c r="O276" i="5" s="1"/>
  <c r="I63" i="5"/>
  <c r="P63" i="5" s="1"/>
  <c r="H80" i="5"/>
  <c r="G210" i="5"/>
  <c r="O210" i="5" s="1"/>
  <c r="G45" i="5"/>
  <c r="O45" i="5" s="1"/>
  <c r="J71" i="5"/>
  <c r="J98" i="5"/>
  <c r="J115" i="5"/>
  <c r="G282" i="5"/>
  <c r="O282" i="5" s="1"/>
  <c r="J108" i="5"/>
  <c r="J126" i="5"/>
  <c r="I148" i="5"/>
  <c r="P148" i="5" s="1"/>
  <c r="H156" i="5"/>
  <c r="I202" i="5"/>
  <c r="P202" i="5" s="1"/>
  <c r="I210" i="5"/>
  <c r="P210" i="5" s="1"/>
  <c r="I55" i="5"/>
  <c r="P55" i="5" s="1"/>
  <c r="G202" i="5"/>
  <c r="O202" i="5" s="1"/>
  <c r="G63" i="5"/>
  <c r="O63" i="5" s="1"/>
  <c r="H155" i="5"/>
  <c r="J70" i="5"/>
  <c r="H81" i="5"/>
  <c r="J81" i="5"/>
  <c r="J97" i="5"/>
  <c r="H125" i="5"/>
  <c r="J155" i="5"/>
  <c r="J156" i="5"/>
  <c r="I194" i="5"/>
  <c r="P194" i="5" s="1"/>
  <c r="H90" i="5"/>
  <c r="H108" i="5"/>
  <c r="I180" i="5"/>
  <c r="P180" i="5" s="1"/>
  <c r="H97" i="5"/>
  <c r="H116" i="5"/>
  <c r="H26" i="5"/>
  <c r="H70" i="5"/>
  <c r="G135" i="5"/>
  <c r="O135" i="5" s="1"/>
  <c r="G141" i="5"/>
  <c r="O141" i="5" s="1"/>
  <c r="I186" i="5"/>
  <c r="P186" i="5" s="1"/>
  <c r="I276" i="5"/>
  <c r="P276" i="5" s="1"/>
  <c r="I282" i="5"/>
  <c r="P282" i="5" s="1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" i="3"/>
  <c r="CY1" i="3"/>
  <c r="CZ1" i="3"/>
  <c r="DA1" i="3"/>
  <c r="A2" i="3"/>
  <c r="CY2" i="3"/>
  <c r="CZ2" i="3"/>
  <c r="DA2" i="3"/>
  <c r="A3" i="3"/>
  <c r="CY3" i="3"/>
  <c r="CZ3" i="3"/>
  <c r="DA3" i="3"/>
  <c r="A4" i="3"/>
  <c r="CY4" i="3"/>
  <c r="CZ4" i="3"/>
  <c r="DA4" i="3"/>
  <c r="A5" i="3"/>
  <c r="CY5" i="3"/>
  <c r="CZ5" i="3"/>
  <c r="DA5" i="3"/>
  <c r="A6" i="3"/>
  <c r="CY6" i="3"/>
  <c r="CZ6" i="3"/>
  <c r="DA6" i="3"/>
  <c r="A7" i="3"/>
  <c r="CY7" i="3"/>
  <c r="CZ7" i="3"/>
  <c r="DA7" i="3"/>
  <c r="A8" i="3"/>
  <c r="CY8" i="3"/>
  <c r="CZ8" i="3"/>
  <c r="DA8" i="3"/>
  <c r="A9" i="3"/>
  <c r="CY9" i="3"/>
  <c r="CZ9" i="3"/>
  <c r="DA9" i="3"/>
  <c r="A10" i="3"/>
  <c r="CY10" i="3"/>
  <c r="CZ10" i="3"/>
  <c r="DA10" i="3"/>
  <c r="A11" i="3"/>
  <c r="CX11" i="3"/>
  <c r="CY11" i="3"/>
  <c r="CZ11" i="3"/>
  <c r="DA11" i="3"/>
  <c r="A12" i="3"/>
  <c r="CY12" i="3"/>
  <c r="CZ12" i="3"/>
  <c r="DA12" i="3"/>
  <c r="A13" i="3"/>
  <c r="CY13" i="3"/>
  <c r="CZ13" i="3"/>
  <c r="DA13" i="3"/>
  <c r="A14" i="3"/>
  <c r="CY14" i="3"/>
  <c r="CZ14" i="3"/>
  <c r="DA14" i="3"/>
  <c r="A15" i="3"/>
  <c r="CY15" i="3"/>
  <c r="CZ15" i="3"/>
  <c r="DA15" i="3"/>
  <c r="A16" i="3"/>
  <c r="CY16" i="3"/>
  <c r="CZ16" i="3"/>
  <c r="DA16" i="3"/>
  <c r="A17" i="3"/>
  <c r="CY17" i="3"/>
  <c r="CZ17" i="3"/>
  <c r="DA17" i="3"/>
  <c r="A18" i="3"/>
  <c r="CY18" i="3"/>
  <c r="CZ18" i="3"/>
  <c r="DA18" i="3"/>
  <c r="A19" i="3"/>
  <c r="CY19" i="3"/>
  <c r="CZ19" i="3"/>
  <c r="DA19" i="3"/>
  <c r="A20" i="3"/>
  <c r="CY20" i="3"/>
  <c r="CZ20" i="3"/>
  <c r="DA20" i="3"/>
  <c r="A21" i="3"/>
  <c r="CY21" i="3"/>
  <c r="CZ21" i="3"/>
  <c r="DA21" i="3"/>
  <c r="A22" i="3"/>
  <c r="CY22" i="3"/>
  <c r="CZ22" i="3"/>
  <c r="DA22" i="3"/>
  <c r="A23" i="3"/>
  <c r="CY23" i="3"/>
  <c r="CZ23" i="3"/>
  <c r="DA23" i="3"/>
  <c r="A24" i="3"/>
  <c r="CY24" i="3"/>
  <c r="CZ24" i="3"/>
  <c r="DA24" i="3"/>
  <c r="A25" i="3"/>
  <c r="CY25" i="3"/>
  <c r="CZ25" i="3"/>
  <c r="DA25" i="3"/>
  <c r="A26" i="3"/>
  <c r="CY26" i="3"/>
  <c r="CZ26" i="3"/>
  <c r="DA26" i="3"/>
  <c r="A27" i="3"/>
  <c r="CX27" i="3"/>
  <c r="CY27" i="3"/>
  <c r="CZ27" i="3"/>
  <c r="DA27" i="3"/>
  <c r="A28" i="3"/>
  <c r="CY28" i="3"/>
  <c r="CZ28" i="3"/>
  <c r="DA28" i="3"/>
  <c r="A29" i="3"/>
  <c r="CY29" i="3"/>
  <c r="CZ29" i="3"/>
  <c r="DA29" i="3"/>
  <c r="A30" i="3"/>
  <c r="CY30" i="3"/>
  <c r="CZ30" i="3"/>
  <c r="DA30" i="3"/>
  <c r="A31" i="3"/>
  <c r="CY31" i="3"/>
  <c r="CZ31" i="3"/>
  <c r="DA31" i="3"/>
  <c r="A32" i="3"/>
  <c r="CY32" i="3"/>
  <c r="CZ32" i="3"/>
  <c r="DA32" i="3"/>
  <c r="A33" i="3"/>
  <c r="CY33" i="3"/>
  <c r="CZ33" i="3"/>
  <c r="DA33" i="3"/>
  <c r="A34" i="3"/>
  <c r="CY34" i="3"/>
  <c r="CZ34" i="3"/>
  <c r="DA34" i="3"/>
  <c r="A35" i="3"/>
  <c r="CY35" i="3"/>
  <c r="CZ35" i="3"/>
  <c r="DA35" i="3"/>
  <c r="A36" i="3"/>
  <c r="CY36" i="3"/>
  <c r="CZ36" i="3"/>
  <c r="DA36" i="3"/>
  <c r="A37" i="3"/>
  <c r="CY37" i="3"/>
  <c r="CZ37" i="3"/>
  <c r="DA37" i="3"/>
  <c r="A38" i="3"/>
  <c r="CY38" i="3"/>
  <c r="CZ38" i="3"/>
  <c r="DA38" i="3"/>
  <c r="A39" i="3"/>
  <c r="CY39" i="3"/>
  <c r="CZ39" i="3"/>
  <c r="DA39" i="3"/>
  <c r="A40" i="3"/>
  <c r="CY40" i="3"/>
  <c r="CZ40" i="3"/>
  <c r="DA40" i="3"/>
  <c r="A41" i="3"/>
  <c r="CY41" i="3"/>
  <c r="CZ41" i="3"/>
  <c r="DA41" i="3"/>
  <c r="A42" i="3"/>
  <c r="CY42" i="3"/>
  <c r="CZ42" i="3"/>
  <c r="DA42" i="3"/>
  <c r="A43" i="3"/>
  <c r="CX43" i="3"/>
  <c r="CY43" i="3"/>
  <c r="CZ43" i="3"/>
  <c r="DA43" i="3"/>
  <c r="A44" i="3"/>
  <c r="CY44" i="3"/>
  <c r="CZ44" i="3"/>
  <c r="DA44" i="3"/>
  <c r="A45" i="3"/>
  <c r="CY45" i="3"/>
  <c r="CZ45" i="3"/>
  <c r="DA45" i="3"/>
  <c r="A46" i="3"/>
  <c r="CY46" i="3"/>
  <c r="CZ46" i="3"/>
  <c r="DA46" i="3"/>
  <c r="A47" i="3"/>
  <c r="CY47" i="3"/>
  <c r="CZ47" i="3"/>
  <c r="DA47" i="3"/>
  <c r="A48" i="3"/>
  <c r="CY48" i="3"/>
  <c r="CZ48" i="3"/>
  <c r="DA48" i="3"/>
  <c r="A49" i="3"/>
  <c r="CY49" i="3"/>
  <c r="CZ49" i="3"/>
  <c r="DA49" i="3"/>
  <c r="A50" i="3"/>
  <c r="CY50" i="3"/>
  <c r="CZ50" i="3"/>
  <c r="DA50" i="3"/>
  <c r="A51" i="3"/>
  <c r="CY51" i="3"/>
  <c r="CZ51" i="3"/>
  <c r="DA51" i="3"/>
  <c r="A52" i="3"/>
  <c r="CX52" i="3"/>
  <c r="CY52" i="3"/>
  <c r="CZ52" i="3"/>
  <c r="DA52" i="3"/>
  <c r="A53" i="3"/>
  <c r="CX53" i="3"/>
  <c r="CY53" i="3"/>
  <c r="CZ53" i="3"/>
  <c r="DA53" i="3"/>
  <c r="A54" i="3"/>
  <c r="CX54" i="3"/>
  <c r="CY54" i="3"/>
  <c r="CZ54" i="3"/>
  <c r="DA54" i="3"/>
  <c r="A55" i="3"/>
  <c r="CX55" i="3"/>
  <c r="CY55" i="3"/>
  <c r="CZ55" i="3"/>
  <c r="DA55" i="3"/>
  <c r="A56" i="3"/>
  <c r="CX56" i="3"/>
  <c r="CY56" i="3"/>
  <c r="CZ56" i="3"/>
  <c r="DA56" i="3"/>
  <c r="A57" i="3"/>
  <c r="CX57" i="3"/>
  <c r="CY57" i="3"/>
  <c r="CZ57" i="3"/>
  <c r="DA57" i="3"/>
  <c r="A58" i="3"/>
  <c r="CX58" i="3"/>
  <c r="CY58" i="3"/>
  <c r="CZ58" i="3"/>
  <c r="DA58" i="3"/>
  <c r="A59" i="3"/>
  <c r="CX59" i="3"/>
  <c r="CY59" i="3"/>
  <c r="CZ59" i="3"/>
  <c r="DA59" i="3"/>
  <c r="A60" i="3"/>
  <c r="CX60" i="3"/>
  <c r="CY60" i="3"/>
  <c r="CZ60" i="3"/>
  <c r="DA60" i="3"/>
  <c r="A61" i="3"/>
  <c r="CX61" i="3"/>
  <c r="CY61" i="3"/>
  <c r="CZ61" i="3"/>
  <c r="DA61" i="3"/>
  <c r="A62" i="3"/>
  <c r="CX62" i="3"/>
  <c r="CY62" i="3"/>
  <c r="CZ62" i="3"/>
  <c r="DA62" i="3"/>
  <c r="A63" i="3"/>
  <c r="CX63" i="3"/>
  <c r="CY63" i="3"/>
  <c r="CZ63" i="3"/>
  <c r="DA63" i="3"/>
  <c r="A64" i="3"/>
  <c r="CX64" i="3"/>
  <c r="CY64" i="3"/>
  <c r="CZ64" i="3"/>
  <c r="DA64" i="3"/>
  <c r="A65" i="3"/>
  <c r="CX65" i="3"/>
  <c r="CY65" i="3"/>
  <c r="CZ65" i="3"/>
  <c r="DA65" i="3"/>
  <c r="A66" i="3"/>
  <c r="CX66" i="3"/>
  <c r="CY66" i="3"/>
  <c r="CZ66" i="3"/>
  <c r="DA66" i="3"/>
  <c r="A67" i="3"/>
  <c r="CX67" i="3"/>
  <c r="CY67" i="3"/>
  <c r="CZ67" i="3"/>
  <c r="DA67" i="3"/>
  <c r="A68" i="3"/>
  <c r="CX68" i="3"/>
  <c r="CY68" i="3"/>
  <c r="CZ68" i="3"/>
  <c r="DA68" i="3"/>
  <c r="A69" i="3"/>
  <c r="CY69" i="3"/>
  <c r="CZ69" i="3"/>
  <c r="DA69" i="3"/>
  <c r="A70" i="3"/>
  <c r="CY70" i="3"/>
  <c r="CZ70" i="3"/>
  <c r="DA70" i="3"/>
  <c r="A71" i="3"/>
  <c r="CY71" i="3"/>
  <c r="CZ71" i="3"/>
  <c r="DA71" i="3"/>
  <c r="A72" i="3"/>
  <c r="CY72" i="3"/>
  <c r="CZ72" i="3"/>
  <c r="DA72" i="3"/>
  <c r="A73" i="3"/>
  <c r="CY73" i="3"/>
  <c r="CZ73" i="3"/>
  <c r="DA73" i="3"/>
  <c r="A74" i="3"/>
  <c r="CY74" i="3"/>
  <c r="CZ74" i="3"/>
  <c r="DA74" i="3"/>
  <c r="A75" i="3"/>
  <c r="CY75" i="3"/>
  <c r="CZ75" i="3"/>
  <c r="DA75" i="3"/>
  <c r="A76" i="3"/>
  <c r="CY76" i="3"/>
  <c r="CZ76" i="3"/>
  <c r="DA76" i="3"/>
  <c r="A77" i="3"/>
  <c r="CY77" i="3"/>
  <c r="CZ77" i="3"/>
  <c r="DA77" i="3"/>
  <c r="A78" i="3"/>
  <c r="CY78" i="3"/>
  <c r="CZ78" i="3"/>
  <c r="DA78" i="3"/>
  <c r="A79" i="3"/>
  <c r="CX79" i="3"/>
  <c r="CY79" i="3"/>
  <c r="CZ79" i="3"/>
  <c r="DA79" i="3"/>
  <c r="A80" i="3"/>
  <c r="CX80" i="3"/>
  <c r="CY80" i="3"/>
  <c r="CZ80" i="3"/>
  <c r="DA80" i="3"/>
  <c r="A81" i="3"/>
  <c r="CX81" i="3"/>
  <c r="CY81" i="3"/>
  <c r="CZ81" i="3"/>
  <c r="DA81" i="3"/>
  <c r="A82" i="3"/>
  <c r="CX82" i="3"/>
  <c r="CY82" i="3"/>
  <c r="CZ82" i="3"/>
  <c r="DA82" i="3"/>
  <c r="A83" i="3"/>
  <c r="CX83" i="3"/>
  <c r="CY83" i="3"/>
  <c r="CZ83" i="3"/>
  <c r="DA83" i="3"/>
  <c r="A84" i="3"/>
  <c r="CX84" i="3"/>
  <c r="CY84" i="3"/>
  <c r="CZ84" i="3"/>
  <c r="DA84" i="3"/>
  <c r="A85" i="3"/>
  <c r="CX85" i="3"/>
  <c r="CY85" i="3"/>
  <c r="CZ85" i="3"/>
  <c r="DA85" i="3"/>
  <c r="A86" i="3"/>
  <c r="CX86" i="3"/>
  <c r="CY86" i="3"/>
  <c r="CZ86" i="3"/>
  <c r="DA86" i="3"/>
  <c r="A87" i="3"/>
  <c r="CX87" i="3"/>
  <c r="CY87" i="3"/>
  <c r="CZ87" i="3"/>
  <c r="DA87" i="3"/>
  <c r="A88" i="3"/>
  <c r="CX88" i="3"/>
  <c r="CY88" i="3"/>
  <c r="CZ88" i="3"/>
  <c r="DA88" i="3"/>
  <c r="A89" i="3"/>
  <c r="CY89" i="3"/>
  <c r="CZ89" i="3"/>
  <c r="DA89" i="3"/>
  <c r="A90" i="3"/>
  <c r="CY90" i="3"/>
  <c r="CZ90" i="3"/>
  <c r="DA90" i="3"/>
  <c r="A91" i="3"/>
  <c r="CY91" i="3"/>
  <c r="CZ91" i="3"/>
  <c r="DA91" i="3"/>
  <c r="A92" i="3"/>
  <c r="CY92" i="3"/>
  <c r="CZ92" i="3"/>
  <c r="DA92" i="3"/>
  <c r="A93" i="3"/>
  <c r="CY93" i="3"/>
  <c r="CZ93" i="3"/>
  <c r="DA93" i="3"/>
  <c r="A94" i="3"/>
  <c r="CY94" i="3"/>
  <c r="CZ94" i="3"/>
  <c r="DA94" i="3"/>
  <c r="A95" i="3"/>
  <c r="CY95" i="3"/>
  <c r="CZ95" i="3"/>
  <c r="DA95" i="3"/>
  <c r="A96" i="3"/>
  <c r="CY96" i="3"/>
  <c r="CZ96" i="3"/>
  <c r="DA96" i="3"/>
  <c r="A97" i="3"/>
  <c r="CY97" i="3"/>
  <c r="CZ97" i="3"/>
  <c r="DA97" i="3"/>
  <c r="A98" i="3"/>
  <c r="CY98" i="3"/>
  <c r="CZ98" i="3"/>
  <c r="DA98" i="3"/>
  <c r="A99" i="3"/>
  <c r="CY99" i="3"/>
  <c r="CZ99" i="3"/>
  <c r="DA99" i="3"/>
  <c r="A100" i="3"/>
  <c r="CY100" i="3"/>
  <c r="CZ100" i="3"/>
  <c r="DA100" i="3"/>
  <c r="A101" i="3"/>
  <c r="CY101" i="3"/>
  <c r="CZ101" i="3"/>
  <c r="DA101" i="3"/>
  <c r="A102" i="3"/>
  <c r="CY102" i="3"/>
  <c r="CZ102" i="3"/>
  <c r="DA102" i="3"/>
  <c r="A103" i="3"/>
  <c r="CY103" i="3"/>
  <c r="CZ103" i="3"/>
  <c r="DA103" i="3"/>
  <c r="A104" i="3"/>
  <c r="CY104" i="3"/>
  <c r="CZ104" i="3"/>
  <c r="DA104" i="3"/>
  <c r="A105" i="3"/>
  <c r="CX105" i="3"/>
  <c r="CY105" i="3"/>
  <c r="CZ105" i="3"/>
  <c r="DA105" i="3"/>
  <c r="A106" i="3"/>
  <c r="CX106" i="3"/>
  <c r="CY106" i="3"/>
  <c r="CZ106" i="3"/>
  <c r="DA106" i="3"/>
  <c r="A107" i="3"/>
  <c r="CX107" i="3"/>
  <c r="CY107" i="3"/>
  <c r="CZ107" i="3"/>
  <c r="DA107" i="3"/>
  <c r="A108" i="3"/>
  <c r="CX108" i="3"/>
  <c r="CY108" i="3"/>
  <c r="CZ108" i="3"/>
  <c r="DA108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O28" i="1"/>
  <c r="P28" i="1"/>
  <c r="Q28" i="1"/>
  <c r="R28" i="1"/>
  <c r="S28" i="1"/>
  <c r="T28" i="1"/>
  <c r="U28" i="1"/>
  <c r="V28" i="1"/>
  <c r="W28" i="1"/>
  <c r="X28" i="1"/>
  <c r="Y28" i="1"/>
  <c r="AB28" i="1"/>
  <c r="CP28" i="1" s="1"/>
  <c r="AC28" i="1"/>
  <c r="AD28" i="1"/>
  <c r="AE28" i="1"/>
  <c r="AF28" i="1"/>
  <c r="AG28" i="1"/>
  <c r="AH28" i="1"/>
  <c r="AI28" i="1"/>
  <c r="AJ28" i="1"/>
  <c r="FR28" i="1"/>
  <c r="GK28" i="1"/>
  <c r="GL28" i="1"/>
  <c r="GO28" i="1"/>
  <c r="GP28" i="1"/>
  <c r="GV28" i="1"/>
  <c r="GX28" i="1"/>
  <c r="O29" i="1"/>
  <c r="P29" i="1"/>
  <c r="Q29" i="1"/>
  <c r="R29" i="1"/>
  <c r="GK29" i="1" s="1"/>
  <c r="S29" i="1"/>
  <c r="T29" i="1"/>
  <c r="U29" i="1"/>
  <c r="V29" i="1"/>
  <c r="W29" i="1"/>
  <c r="X29" i="1"/>
  <c r="Y29" i="1"/>
  <c r="AB29" i="1"/>
  <c r="AC29" i="1"/>
  <c r="AD29" i="1"/>
  <c r="AE29" i="1"/>
  <c r="AF29" i="1"/>
  <c r="AG29" i="1"/>
  <c r="AH29" i="1"/>
  <c r="AI29" i="1"/>
  <c r="AJ29" i="1"/>
  <c r="CP29" i="1"/>
  <c r="GN29" i="1" s="1"/>
  <c r="FR29" i="1"/>
  <c r="GL29" i="1"/>
  <c r="GO29" i="1"/>
  <c r="GP29" i="1"/>
  <c r="GV29" i="1"/>
  <c r="GX29" i="1" s="1"/>
  <c r="C30" i="1"/>
  <c r="D30" i="1"/>
  <c r="I30" i="1"/>
  <c r="R30" i="1"/>
  <c r="GK30" i="1" s="1"/>
  <c r="AC30" i="1"/>
  <c r="CQ30" i="1" s="1"/>
  <c r="P30" i="1" s="1"/>
  <c r="AE30" i="1"/>
  <c r="AD30" i="1" s="1"/>
  <c r="AF30" i="1"/>
  <c r="CT30" i="1" s="1"/>
  <c r="AG30" i="1"/>
  <c r="CU30" i="1" s="1"/>
  <c r="T30" i="1" s="1"/>
  <c r="AH30" i="1"/>
  <c r="AI30" i="1"/>
  <c r="AJ30" i="1"/>
  <c r="CX30" i="1" s="1"/>
  <c r="CS30" i="1"/>
  <c r="CV30" i="1"/>
  <c r="U30" i="1" s="1"/>
  <c r="CW30" i="1"/>
  <c r="V30" i="1" s="1"/>
  <c r="FR30" i="1"/>
  <c r="GL30" i="1"/>
  <c r="GO30" i="1"/>
  <c r="GP30" i="1"/>
  <c r="GV30" i="1"/>
  <c r="GX30" i="1"/>
  <c r="R31" i="1"/>
  <c r="AB31" i="1"/>
  <c r="AC31" i="1"/>
  <c r="CQ31" i="1" s="1"/>
  <c r="P31" i="1" s="1"/>
  <c r="CP31" i="1" s="1"/>
  <c r="O31" i="1" s="1"/>
  <c r="AE31" i="1"/>
  <c r="AD31" i="1" s="1"/>
  <c r="AF31" i="1"/>
  <c r="CT31" i="1" s="1"/>
  <c r="S31" i="1" s="1"/>
  <c r="AG31" i="1"/>
  <c r="CU31" i="1" s="1"/>
  <c r="T31" i="1" s="1"/>
  <c r="AH31" i="1"/>
  <c r="AI31" i="1"/>
  <c r="AJ31" i="1"/>
  <c r="CX31" i="1" s="1"/>
  <c r="W31" i="1" s="1"/>
  <c r="CR31" i="1"/>
  <c r="Q31" i="1" s="1"/>
  <c r="CS31" i="1"/>
  <c r="CV31" i="1"/>
  <c r="U31" i="1" s="1"/>
  <c r="CW31" i="1"/>
  <c r="V31" i="1" s="1"/>
  <c r="FR31" i="1"/>
  <c r="GL31" i="1"/>
  <c r="GO31" i="1"/>
  <c r="GP31" i="1"/>
  <c r="GV31" i="1"/>
  <c r="GX31" i="1"/>
  <c r="C32" i="1"/>
  <c r="D32" i="1"/>
  <c r="I32" i="1"/>
  <c r="CX7" i="3" s="1"/>
  <c r="R32" i="1"/>
  <c r="GK32" i="1" s="1"/>
  <c r="AC32" i="1"/>
  <c r="AD32" i="1"/>
  <c r="CR32" i="1" s="1"/>
  <c r="Q32" i="1" s="1"/>
  <c r="AE32" i="1"/>
  <c r="AF32" i="1"/>
  <c r="CT32" i="1" s="1"/>
  <c r="S32" i="1" s="1"/>
  <c r="AG32" i="1"/>
  <c r="AH32" i="1"/>
  <c r="CV32" i="1" s="1"/>
  <c r="U32" i="1" s="1"/>
  <c r="AI32" i="1"/>
  <c r="AJ32" i="1"/>
  <c r="CX32" i="1" s="1"/>
  <c r="W32" i="1" s="1"/>
  <c r="CQ32" i="1"/>
  <c r="P32" i="1" s="1"/>
  <c r="CP32" i="1" s="1"/>
  <c r="O32" i="1" s="1"/>
  <c r="CS32" i="1"/>
  <c r="CU32" i="1"/>
  <c r="CW32" i="1"/>
  <c r="V32" i="1" s="1"/>
  <c r="FR32" i="1"/>
  <c r="GL32" i="1"/>
  <c r="GO32" i="1"/>
  <c r="GP32" i="1"/>
  <c r="GV32" i="1"/>
  <c r="GX32" i="1"/>
  <c r="O33" i="1"/>
  <c r="P33" i="1"/>
  <c r="Q33" i="1"/>
  <c r="R33" i="1"/>
  <c r="GK33" i="1" s="1"/>
  <c r="S33" i="1"/>
  <c r="T33" i="1"/>
  <c r="U33" i="1"/>
  <c r="V33" i="1"/>
  <c r="W33" i="1"/>
  <c r="X33" i="1"/>
  <c r="Y33" i="1"/>
  <c r="AB33" i="1"/>
  <c r="CP33" i="1" s="1"/>
  <c r="AC33" i="1"/>
  <c r="AD33" i="1"/>
  <c r="AE33" i="1"/>
  <c r="AF33" i="1"/>
  <c r="AG33" i="1"/>
  <c r="AH33" i="1"/>
  <c r="AI33" i="1"/>
  <c r="AJ33" i="1"/>
  <c r="FR33" i="1"/>
  <c r="GL33" i="1"/>
  <c r="GO33" i="1"/>
  <c r="GP33" i="1"/>
  <c r="GV33" i="1"/>
  <c r="GX33" i="1" s="1"/>
  <c r="C34" i="1"/>
  <c r="D34" i="1"/>
  <c r="I34" i="1"/>
  <c r="CX13" i="3" s="1"/>
  <c r="AC34" i="1"/>
  <c r="CQ34" i="1" s="1"/>
  <c r="AE34" i="1"/>
  <c r="AD34" i="1" s="1"/>
  <c r="CR34" i="1" s="1"/>
  <c r="Q34" i="1" s="1"/>
  <c r="AF34" i="1"/>
  <c r="AG34" i="1"/>
  <c r="CU34" i="1" s="1"/>
  <c r="AH34" i="1"/>
  <c r="AI34" i="1"/>
  <c r="CW34" i="1" s="1"/>
  <c r="V34" i="1" s="1"/>
  <c r="AJ34" i="1"/>
  <c r="CX34" i="1" s="1"/>
  <c r="CS34" i="1"/>
  <c r="CT34" i="1"/>
  <c r="S34" i="1" s="1"/>
  <c r="CV34" i="1"/>
  <c r="U34" i="1" s="1"/>
  <c r="FR34" i="1"/>
  <c r="GL34" i="1"/>
  <c r="GO34" i="1"/>
  <c r="GP34" i="1"/>
  <c r="GV34" i="1"/>
  <c r="GX34" i="1" s="1"/>
  <c r="C35" i="1"/>
  <c r="D35" i="1"/>
  <c r="I35" i="1"/>
  <c r="S35" i="1"/>
  <c r="AC35" i="1"/>
  <c r="AE35" i="1"/>
  <c r="AF35" i="1"/>
  <c r="AG35" i="1"/>
  <c r="AH35" i="1"/>
  <c r="AI35" i="1"/>
  <c r="CW35" i="1" s="1"/>
  <c r="V35" i="1" s="1"/>
  <c r="AJ35" i="1"/>
  <c r="CQ35" i="1"/>
  <c r="P35" i="1" s="1"/>
  <c r="CT35" i="1"/>
  <c r="CU35" i="1"/>
  <c r="T35" i="1" s="1"/>
  <c r="CV35" i="1"/>
  <c r="U35" i="1" s="1"/>
  <c r="CX35" i="1"/>
  <c r="FR35" i="1"/>
  <c r="GL35" i="1"/>
  <c r="GN35" i="1"/>
  <c r="GP35" i="1"/>
  <c r="GV35" i="1"/>
  <c r="GX35" i="1" s="1"/>
  <c r="AC36" i="1"/>
  <c r="AB36" i="1" s="1"/>
  <c r="AD36" i="1"/>
  <c r="CR36" i="1" s="1"/>
  <c r="AE36" i="1"/>
  <c r="CS36" i="1" s="1"/>
  <c r="AF36" i="1"/>
  <c r="AG36" i="1"/>
  <c r="AH36" i="1"/>
  <c r="CV36" i="1" s="1"/>
  <c r="AI36" i="1"/>
  <c r="CW36" i="1" s="1"/>
  <c r="AJ36" i="1"/>
  <c r="CQ36" i="1"/>
  <c r="CT36" i="1"/>
  <c r="CU36" i="1"/>
  <c r="CX36" i="1"/>
  <c r="FR36" i="1"/>
  <c r="GL36" i="1"/>
  <c r="GO36" i="1"/>
  <c r="GP36" i="1"/>
  <c r="GV36" i="1"/>
  <c r="C37" i="1"/>
  <c r="D37" i="1"/>
  <c r="I37" i="1"/>
  <c r="CX19" i="3" s="1"/>
  <c r="AC37" i="1"/>
  <c r="AE37" i="1"/>
  <c r="AF37" i="1"/>
  <c r="CT37" i="1" s="1"/>
  <c r="S37" i="1" s="1"/>
  <c r="AG37" i="1"/>
  <c r="AH37" i="1"/>
  <c r="AI37" i="1"/>
  <c r="CW37" i="1" s="1"/>
  <c r="V37" i="1" s="1"/>
  <c r="AJ37" i="1"/>
  <c r="CX37" i="1" s="1"/>
  <c r="W37" i="1" s="1"/>
  <c r="CQ37" i="1"/>
  <c r="P37" i="1" s="1"/>
  <c r="CU37" i="1"/>
  <c r="T37" i="1" s="1"/>
  <c r="CV37" i="1"/>
  <c r="U37" i="1" s="1"/>
  <c r="FR37" i="1"/>
  <c r="GL37" i="1"/>
  <c r="GN37" i="1"/>
  <c r="GP37" i="1"/>
  <c r="GV37" i="1"/>
  <c r="GX37" i="1" s="1"/>
  <c r="I38" i="1"/>
  <c r="P38" i="1"/>
  <c r="CP38" i="1" s="1"/>
  <c r="O38" i="1" s="1"/>
  <c r="AC38" i="1"/>
  <c r="AD38" i="1"/>
  <c r="CR38" i="1" s="1"/>
  <c r="Q38" i="1" s="1"/>
  <c r="AE38" i="1"/>
  <c r="CS38" i="1" s="1"/>
  <c r="R38" i="1" s="1"/>
  <c r="GK38" i="1" s="1"/>
  <c r="AF38" i="1"/>
  <c r="AG38" i="1"/>
  <c r="AH38" i="1"/>
  <c r="CV38" i="1" s="1"/>
  <c r="U38" i="1" s="1"/>
  <c r="AI38" i="1"/>
  <c r="CW38" i="1" s="1"/>
  <c r="V38" i="1" s="1"/>
  <c r="AJ38" i="1"/>
  <c r="CQ38" i="1"/>
  <c r="CT38" i="1"/>
  <c r="S38" i="1" s="1"/>
  <c r="CU38" i="1"/>
  <c r="T38" i="1" s="1"/>
  <c r="CX38" i="1"/>
  <c r="W38" i="1" s="1"/>
  <c r="FR38" i="1"/>
  <c r="GL38" i="1"/>
  <c r="GN38" i="1"/>
  <c r="GP38" i="1"/>
  <c r="GV38" i="1"/>
  <c r="GX38" i="1" s="1"/>
  <c r="C39" i="1"/>
  <c r="D39" i="1"/>
  <c r="I39" i="1"/>
  <c r="CX35" i="3" s="1"/>
  <c r="AC39" i="1"/>
  <c r="AE39" i="1"/>
  <c r="AF39" i="1"/>
  <c r="CT39" i="1" s="1"/>
  <c r="S39" i="1" s="1"/>
  <c r="AG39" i="1"/>
  <c r="AH39" i="1"/>
  <c r="AI39" i="1"/>
  <c r="CW39" i="1" s="1"/>
  <c r="V39" i="1" s="1"/>
  <c r="AJ39" i="1"/>
  <c r="CX39" i="1" s="1"/>
  <c r="W39" i="1" s="1"/>
  <c r="CQ39" i="1"/>
  <c r="P39" i="1" s="1"/>
  <c r="CU39" i="1"/>
  <c r="T39" i="1" s="1"/>
  <c r="CV39" i="1"/>
  <c r="U39" i="1" s="1"/>
  <c r="FR39" i="1"/>
  <c r="GL39" i="1"/>
  <c r="GN39" i="1"/>
  <c r="GP39" i="1"/>
  <c r="GV39" i="1"/>
  <c r="GX39" i="1" s="1"/>
  <c r="I40" i="1"/>
  <c r="X40" i="1"/>
  <c r="AC40" i="1"/>
  <c r="AB40" i="1" s="1"/>
  <c r="AD40" i="1"/>
  <c r="CR40" i="1" s="1"/>
  <c r="Q40" i="1" s="1"/>
  <c r="AE40" i="1"/>
  <c r="CS40" i="1" s="1"/>
  <c r="R40" i="1" s="1"/>
  <c r="GK40" i="1" s="1"/>
  <c r="AF40" i="1"/>
  <c r="AG40" i="1"/>
  <c r="AH40" i="1"/>
  <c r="CV40" i="1" s="1"/>
  <c r="U40" i="1" s="1"/>
  <c r="AI40" i="1"/>
  <c r="CW40" i="1" s="1"/>
  <c r="V40" i="1" s="1"/>
  <c r="AJ40" i="1"/>
  <c r="CQ40" i="1"/>
  <c r="P40" i="1" s="1"/>
  <c r="CP40" i="1" s="1"/>
  <c r="O40" i="1" s="1"/>
  <c r="CT40" i="1"/>
  <c r="S40" i="1" s="1"/>
  <c r="CU40" i="1"/>
  <c r="T40" i="1" s="1"/>
  <c r="CX40" i="1"/>
  <c r="W40" i="1" s="1"/>
  <c r="CY40" i="1"/>
  <c r="FR40" i="1"/>
  <c r="GL40" i="1"/>
  <c r="GN40" i="1"/>
  <c r="GP40" i="1"/>
  <c r="GV40" i="1"/>
  <c r="GX40" i="1" s="1"/>
  <c r="C41" i="1"/>
  <c r="D41" i="1"/>
  <c r="I41" i="1"/>
  <c r="CX38" i="3" s="1"/>
  <c r="AC41" i="1"/>
  <c r="AE41" i="1"/>
  <c r="AF41" i="1"/>
  <c r="CT41" i="1" s="1"/>
  <c r="S41" i="1" s="1"/>
  <c r="AG41" i="1"/>
  <c r="AH41" i="1"/>
  <c r="AI41" i="1"/>
  <c r="CW41" i="1" s="1"/>
  <c r="V41" i="1" s="1"/>
  <c r="AJ41" i="1"/>
  <c r="CX41" i="1" s="1"/>
  <c r="W41" i="1" s="1"/>
  <c r="CQ41" i="1"/>
  <c r="P41" i="1" s="1"/>
  <c r="CU41" i="1"/>
  <c r="T41" i="1" s="1"/>
  <c r="CV41" i="1"/>
  <c r="U41" i="1" s="1"/>
  <c r="FR41" i="1"/>
  <c r="GL41" i="1"/>
  <c r="GO41" i="1"/>
  <c r="GP41" i="1"/>
  <c r="GV41" i="1"/>
  <c r="GX41" i="1" s="1"/>
  <c r="AC42" i="1"/>
  <c r="AD42" i="1"/>
  <c r="CR42" i="1" s="1"/>
  <c r="AE42" i="1"/>
  <c r="CS42" i="1" s="1"/>
  <c r="AF42" i="1"/>
  <c r="AG42" i="1"/>
  <c r="AH42" i="1"/>
  <c r="CV42" i="1" s="1"/>
  <c r="AI42" i="1"/>
  <c r="CW42" i="1" s="1"/>
  <c r="AJ42" i="1"/>
  <c r="CQ42" i="1"/>
  <c r="CT42" i="1"/>
  <c r="CU42" i="1"/>
  <c r="CX42" i="1"/>
  <c r="FR42" i="1"/>
  <c r="GL42" i="1"/>
  <c r="GO42" i="1"/>
  <c r="GP42" i="1"/>
  <c r="GV42" i="1"/>
  <c r="C43" i="1"/>
  <c r="D43" i="1"/>
  <c r="I43" i="1"/>
  <c r="CX51" i="3" s="1"/>
  <c r="P43" i="1"/>
  <c r="CP43" i="1" s="1"/>
  <c r="O43" i="1" s="1"/>
  <c r="X43" i="1"/>
  <c r="AC43" i="1"/>
  <c r="AD43" i="1"/>
  <c r="AB43" i="1" s="1"/>
  <c r="AE43" i="1"/>
  <c r="AF43" i="1"/>
  <c r="CT43" i="1" s="1"/>
  <c r="S43" i="1" s="1"/>
  <c r="AG43" i="1"/>
  <c r="AH43" i="1"/>
  <c r="CV43" i="1" s="1"/>
  <c r="U43" i="1" s="1"/>
  <c r="AI43" i="1"/>
  <c r="AJ43" i="1"/>
  <c r="CX43" i="1" s="1"/>
  <c r="W43" i="1" s="1"/>
  <c r="CQ43" i="1"/>
  <c r="CR43" i="1"/>
  <c r="Q43" i="1" s="1"/>
  <c r="CS43" i="1"/>
  <c r="R43" i="1" s="1"/>
  <c r="GK43" i="1" s="1"/>
  <c r="CU43" i="1"/>
  <c r="T43" i="1" s="1"/>
  <c r="CW43" i="1"/>
  <c r="V43" i="1" s="1"/>
  <c r="CY43" i="1"/>
  <c r="FR43" i="1"/>
  <c r="GL43" i="1"/>
  <c r="GN43" i="1"/>
  <c r="GP43" i="1"/>
  <c r="GV43" i="1"/>
  <c r="GX43" i="1" s="1"/>
  <c r="AC44" i="1"/>
  <c r="AD44" i="1"/>
  <c r="CR44" i="1" s="1"/>
  <c r="AE44" i="1"/>
  <c r="CS44" i="1" s="1"/>
  <c r="AF44" i="1"/>
  <c r="AG44" i="1"/>
  <c r="AH44" i="1"/>
  <c r="CV44" i="1" s="1"/>
  <c r="AI44" i="1"/>
  <c r="CW44" i="1" s="1"/>
  <c r="AJ44" i="1"/>
  <c r="CQ44" i="1"/>
  <c r="CT44" i="1"/>
  <c r="CU44" i="1"/>
  <c r="CX44" i="1"/>
  <c r="FR44" i="1"/>
  <c r="GL44" i="1"/>
  <c r="GN44" i="1"/>
  <c r="GP44" i="1"/>
  <c r="GV44" i="1"/>
  <c r="C45" i="1"/>
  <c r="D45" i="1"/>
  <c r="W45" i="1"/>
  <c r="AC45" i="1"/>
  <c r="AB45" i="1" s="1"/>
  <c r="AD45" i="1"/>
  <c r="CR45" i="1" s="1"/>
  <c r="Q45" i="1" s="1"/>
  <c r="AE45" i="1"/>
  <c r="CS45" i="1" s="1"/>
  <c r="R45" i="1" s="1"/>
  <c r="AF45" i="1"/>
  <c r="AG45" i="1"/>
  <c r="AH45" i="1"/>
  <c r="CV45" i="1" s="1"/>
  <c r="U45" i="1" s="1"/>
  <c r="AI45" i="1"/>
  <c r="CW45" i="1" s="1"/>
  <c r="V45" i="1" s="1"/>
  <c r="AJ45" i="1"/>
  <c r="CQ45" i="1"/>
  <c r="P45" i="1" s="1"/>
  <c r="CP45" i="1" s="1"/>
  <c r="O45" i="1" s="1"/>
  <c r="CT45" i="1"/>
  <c r="S45" i="1" s="1"/>
  <c r="CU45" i="1"/>
  <c r="T45" i="1" s="1"/>
  <c r="CX45" i="1"/>
  <c r="FR45" i="1"/>
  <c r="GL45" i="1"/>
  <c r="GN45" i="1"/>
  <c r="GP45" i="1"/>
  <c r="GV45" i="1"/>
  <c r="GX45" i="1" s="1"/>
  <c r="I46" i="1"/>
  <c r="AC46" i="1"/>
  <c r="AD46" i="1"/>
  <c r="CR46" i="1" s="1"/>
  <c r="Q46" i="1" s="1"/>
  <c r="AE46" i="1"/>
  <c r="AF46" i="1"/>
  <c r="AG46" i="1"/>
  <c r="CU46" i="1" s="1"/>
  <c r="T46" i="1" s="1"/>
  <c r="AH46" i="1"/>
  <c r="CV46" i="1" s="1"/>
  <c r="U46" i="1" s="1"/>
  <c r="AI46" i="1"/>
  <c r="AJ46" i="1"/>
  <c r="CS46" i="1"/>
  <c r="R46" i="1" s="1"/>
  <c r="GK46" i="1" s="1"/>
  <c r="CT46" i="1"/>
  <c r="S46" i="1" s="1"/>
  <c r="CW46" i="1"/>
  <c r="V46" i="1" s="1"/>
  <c r="CX46" i="1"/>
  <c r="W46" i="1" s="1"/>
  <c r="FR46" i="1"/>
  <c r="GL46" i="1"/>
  <c r="GN46" i="1"/>
  <c r="GP46" i="1"/>
  <c r="GV46" i="1"/>
  <c r="GX46" i="1"/>
  <c r="C47" i="1"/>
  <c r="D47" i="1"/>
  <c r="AC47" i="1"/>
  <c r="AE47" i="1"/>
  <c r="AF47" i="1"/>
  <c r="CT47" i="1" s="1"/>
  <c r="S47" i="1" s="1"/>
  <c r="AG47" i="1"/>
  <c r="AH47" i="1"/>
  <c r="AI47" i="1"/>
  <c r="CW47" i="1" s="1"/>
  <c r="V47" i="1" s="1"/>
  <c r="AJ47" i="1"/>
  <c r="CX47" i="1" s="1"/>
  <c r="W47" i="1" s="1"/>
  <c r="CQ47" i="1"/>
  <c r="P47" i="1" s="1"/>
  <c r="CU47" i="1"/>
  <c r="T47" i="1" s="1"/>
  <c r="CV47" i="1"/>
  <c r="U47" i="1" s="1"/>
  <c r="FR47" i="1"/>
  <c r="GL47" i="1"/>
  <c r="GN47" i="1"/>
  <c r="GP47" i="1"/>
  <c r="GV47" i="1"/>
  <c r="GX47" i="1" s="1"/>
  <c r="I48" i="1"/>
  <c r="P48" i="1"/>
  <c r="AC48" i="1"/>
  <c r="AD48" i="1"/>
  <c r="CR48" i="1" s="1"/>
  <c r="Q48" i="1" s="1"/>
  <c r="AE48" i="1"/>
  <c r="CS48" i="1" s="1"/>
  <c r="R48" i="1" s="1"/>
  <c r="GK48" i="1" s="1"/>
  <c r="AF48" i="1"/>
  <c r="AG48" i="1"/>
  <c r="AH48" i="1"/>
  <c r="CV48" i="1" s="1"/>
  <c r="U48" i="1" s="1"/>
  <c r="AI48" i="1"/>
  <c r="CW48" i="1" s="1"/>
  <c r="V48" i="1" s="1"/>
  <c r="AJ48" i="1"/>
  <c r="CQ48" i="1"/>
  <c r="CT48" i="1"/>
  <c r="S48" i="1" s="1"/>
  <c r="CU48" i="1"/>
  <c r="T48" i="1" s="1"/>
  <c r="CX48" i="1"/>
  <c r="W48" i="1" s="1"/>
  <c r="FR48" i="1"/>
  <c r="GL48" i="1"/>
  <c r="GN48" i="1"/>
  <c r="GP48" i="1"/>
  <c r="GV48" i="1"/>
  <c r="GX48" i="1" s="1"/>
  <c r="C49" i="1"/>
  <c r="D49" i="1"/>
  <c r="I49" i="1"/>
  <c r="AC49" i="1"/>
  <c r="AE49" i="1"/>
  <c r="AF49" i="1"/>
  <c r="CT49" i="1" s="1"/>
  <c r="S49" i="1" s="1"/>
  <c r="AG49" i="1"/>
  <c r="AH49" i="1"/>
  <c r="AI49" i="1"/>
  <c r="CW49" i="1" s="1"/>
  <c r="V49" i="1" s="1"/>
  <c r="AJ49" i="1"/>
  <c r="CX49" i="1" s="1"/>
  <c r="W49" i="1" s="1"/>
  <c r="CQ49" i="1"/>
  <c r="P49" i="1" s="1"/>
  <c r="CU49" i="1"/>
  <c r="T49" i="1" s="1"/>
  <c r="CV49" i="1"/>
  <c r="U49" i="1" s="1"/>
  <c r="FR49" i="1"/>
  <c r="GL49" i="1"/>
  <c r="GN49" i="1"/>
  <c r="GP49" i="1"/>
  <c r="GV49" i="1"/>
  <c r="GX49" i="1" s="1"/>
  <c r="C50" i="1"/>
  <c r="D50" i="1"/>
  <c r="I50" i="1"/>
  <c r="CX71" i="3" s="1"/>
  <c r="R50" i="1"/>
  <c r="GK50" i="1" s="1"/>
  <c r="AC50" i="1"/>
  <c r="CQ50" i="1" s="1"/>
  <c r="P50" i="1" s="1"/>
  <c r="AE50" i="1"/>
  <c r="AD50" i="1" s="1"/>
  <c r="AF50" i="1"/>
  <c r="CT50" i="1" s="1"/>
  <c r="S50" i="1" s="1"/>
  <c r="AG50" i="1"/>
  <c r="CU50" i="1" s="1"/>
  <c r="AH50" i="1"/>
  <c r="AI50" i="1"/>
  <c r="AJ50" i="1"/>
  <c r="CX50" i="1" s="1"/>
  <c r="W50" i="1" s="1"/>
  <c r="CS50" i="1"/>
  <c r="CV50" i="1"/>
  <c r="U50" i="1" s="1"/>
  <c r="CW50" i="1"/>
  <c r="V50" i="1" s="1"/>
  <c r="FR50" i="1"/>
  <c r="BY58" i="1" s="1"/>
  <c r="GL50" i="1"/>
  <c r="GO50" i="1"/>
  <c r="GP50" i="1"/>
  <c r="GV50" i="1"/>
  <c r="GX50" i="1"/>
  <c r="C51" i="1"/>
  <c r="D51" i="1"/>
  <c r="I51" i="1"/>
  <c r="W51" i="1"/>
  <c r="AC51" i="1"/>
  <c r="AD51" i="1"/>
  <c r="CR51" i="1" s="1"/>
  <c r="Q51" i="1" s="1"/>
  <c r="AE51" i="1"/>
  <c r="AF51" i="1"/>
  <c r="AG51" i="1"/>
  <c r="CU51" i="1" s="1"/>
  <c r="T51" i="1" s="1"/>
  <c r="AH51" i="1"/>
  <c r="CV51" i="1" s="1"/>
  <c r="U51" i="1" s="1"/>
  <c r="AI51" i="1"/>
  <c r="AJ51" i="1"/>
  <c r="CS51" i="1"/>
  <c r="R51" i="1" s="1"/>
  <c r="CT51" i="1"/>
  <c r="S51" i="1" s="1"/>
  <c r="CW51" i="1"/>
  <c r="V51" i="1" s="1"/>
  <c r="CX51" i="1"/>
  <c r="FR51" i="1"/>
  <c r="GK51" i="1"/>
  <c r="GL51" i="1"/>
  <c r="GO51" i="1"/>
  <c r="GP51" i="1"/>
  <c r="GV51" i="1"/>
  <c r="GX51" i="1"/>
  <c r="C52" i="1"/>
  <c r="D52" i="1"/>
  <c r="I52" i="1"/>
  <c r="AC52" i="1"/>
  <c r="AB52" i="1" s="1"/>
  <c r="AD52" i="1"/>
  <c r="CR52" i="1" s="1"/>
  <c r="Q52" i="1" s="1"/>
  <c r="AE52" i="1"/>
  <c r="CS52" i="1" s="1"/>
  <c r="R52" i="1" s="1"/>
  <c r="GK52" i="1" s="1"/>
  <c r="AF52" i="1"/>
  <c r="AG52" i="1"/>
  <c r="AH52" i="1"/>
  <c r="CV52" i="1" s="1"/>
  <c r="U52" i="1" s="1"/>
  <c r="AI52" i="1"/>
  <c r="CW52" i="1" s="1"/>
  <c r="V52" i="1" s="1"/>
  <c r="AJ52" i="1"/>
  <c r="CQ52" i="1"/>
  <c r="P52" i="1" s="1"/>
  <c r="CP52" i="1" s="1"/>
  <c r="O52" i="1" s="1"/>
  <c r="CT52" i="1"/>
  <c r="S52" i="1" s="1"/>
  <c r="CZ52" i="1" s="1"/>
  <c r="Y52" i="1" s="1"/>
  <c r="CU52" i="1"/>
  <c r="T52" i="1" s="1"/>
  <c r="CX52" i="1"/>
  <c r="W52" i="1" s="1"/>
  <c r="CY52" i="1"/>
  <c r="X52" i="1" s="1"/>
  <c r="FR52" i="1"/>
  <c r="GL52" i="1"/>
  <c r="GO52" i="1"/>
  <c r="GP52" i="1"/>
  <c r="GV52" i="1"/>
  <c r="GX52" i="1" s="1"/>
  <c r="I53" i="1"/>
  <c r="W53" i="1"/>
  <c r="AC53" i="1"/>
  <c r="AD53" i="1"/>
  <c r="CR53" i="1" s="1"/>
  <c r="Q53" i="1" s="1"/>
  <c r="AE53" i="1"/>
  <c r="AF53" i="1"/>
  <c r="AG53" i="1"/>
  <c r="CU53" i="1" s="1"/>
  <c r="T53" i="1" s="1"/>
  <c r="AH53" i="1"/>
  <c r="CV53" i="1" s="1"/>
  <c r="U53" i="1" s="1"/>
  <c r="AI53" i="1"/>
  <c r="AJ53" i="1"/>
  <c r="CS53" i="1"/>
  <c r="R53" i="1" s="1"/>
  <c r="CT53" i="1"/>
  <c r="S53" i="1" s="1"/>
  <c r="CW53" i="1"/>
  <c r="V53" i="1" s="1"/>
  <c r="CX53" i="1"/>
  <c r="FR53" i="1"/>
  <c r="GK53" i="1"/>
  <c r="GL53" i="1"/>
  <c r="GO53" i="1"/>
  <c r="GP53" i="1"/>
  <c r="GV53" i="1"/>
  <c r="GX53" i="1"/>
  <c r="O54" i="1"/>
  <c r="P54" i="1"/>
  <c r="Q54" i="1"/>
  <c r="R54" i="1"/>
  <c r="GK54" i="1" s="1"/>
  <c r="S54" i="1"/>
  <c r="T54" i="1"/>
  <c r="U54" i="1"/>
  <c r="V54" i="1"/>
  <c r="W54" i="1"/>
  <c r="X54" i="1"/>
  <c r="Y54" i="1"/>
  <c r="AB54" i="1"/>
  <c r="AC54" i="1"/>
  <c r="AD54" i="1"/>
  <c r="AE54" i="1"/>
  <c r="AF54" i="1"/>
  <c r="AG54" i="1"/>
  <c r="AH54" i="1"/>
  <c r="AI54" i="1"/>
  <c r="AJ54" i="1"/>
  <c r="CP54" i="1"/>
  <c r="GN54" i="1" s="1"/>
  <c r="FR54" i="1"/>
  <c r="GL54" i="1"/>
  <c r="GM54" i="1"/>
  <c r="GO54" i="1"/>
  <c r="GP54" i="1"/>
  <c r="GV54" i="1"/>
  <c r="GX54" i="1" s="1"/>
  <c r="O55" i="1"/>
  <c r="P55" i="1"/>
  <c r="Q55" i="1"/>
  <c r="R55" i="1"/>
  <c r="S55" i="1"/>
  <c r="T55" i="1"/>
  <c r="U55" i="1"/>
  <c r="V55" i="1"/>
  <c r="W55" i="1"/>
  <c r="X55" i="1"/>
  <c r="Y55" i="1"/>
  <c r="AB55" i="1"/>
  <c r="CP55" i="1" s="1"/>
  <c r="AC55" i="1"/>
  <c r="AD55" i="1"/>
  <c r="AE55" i="1"/>
  <c r="AF55" i="1"/>
  <c r="AG55" i="1"/>
  <c r="AH55" i="1"/>
  <c r="AI55" i="1"/>
  <c r="AJ55" i="1"/>
  <c r="FR55" i="1"/>
  <c r="GK55" i="1"/>
  <c r="GL55" i="1"/>
  <c r="GO55" i="1"/>
  <c r="GP55" i="1"/>
  <c r="GV55" i="1"/>
  <c r="GX55" i="1"/>
  <c r="AC56" i="1"/>
  <c r="AD56" i="1"/>
  <c r="CR56" i="1" s="1"/>
  <c r="Q56" i="1" s="1"/>
  <c r="AE56" i="1"/>
  <c r="AF56" i="1"/>
  <c r="AG56" i="1"/>
  <c r="CU56" i="1" s="1"/>
  <c r="T56" i="1" s="1"/>
  <c r="AH56" i="1"/>
  <c r="CV56" i="1" s="1"/>
  <c r="U56" i="1" s="1"/>
  <c r="AI56" i="1"/>
  <c r="AJ56" i="1"/>
  <c r="CS56" i="1"/>
  <c r="R56" i="1" s="1"/>
  <c r="GK56" i="1" s="1"/>
  <c r="CT56" i="1"/>
  <c r="S56" i="1" s="1"/>
  <c r="CW56" i="1"/>
  <c r="V56" i="1" s="1"/>
  <c r="CX56" i="1"/>
  <c r="W56" i="1" s="1"/>
  <c r="FR56" i="1"/>
  <c r="GL56" i="1"/>
  <c r="GN56" i="1"/>
  <c r="GO56" i="1"/>
  <c r="GV56" i="1"/>
  <c r="GX56" i="1"/>
  <c r="B58" i="1"/>
  <c r="B26" i="1" s="1"/>
  <c r="C58" i="1"/>
  <c r="C26" i="1" s="1"/>
  <c r="D58" i="1"/>
  <c r="D26" i="1" s="1"/>
  <c r="F58" i="1"/>
  <c r="F26" i="1" s="1"/>
  <c r="G58" i="1"/>
  <c r="G26" i="1" s="1"/>
  <c r="AO58" i="1"/>
  <c r="AO26" i="1" s="1"/>
  <c r="BX58" i="1"/>
  <c r="BX26" i="1" s="1"/>
  <c r="BZ58" i="1"/>
  <c r="CK58" i="1"/>
  <c r="CK26" i="1" s="1"/>
  <c r="CL58" i="1"/>
  <c r="D88" i="1"/>
  <c r="D90" i="1"/>
  <c r="E90" i="1"/>
  <c r="Z90" i="1"/>
  <c r="AA90" i="1"/>
  <c r="AM90" i="1"/>
  <c r="AN90" i="1"/>
  <c r="BD90" i="1"/>
  <c r="BE90" i="1"/>
  <c r="BF90" i="1"/>
  <c r="BG90" i="1"/>
  <c r="BH90" i="1"/>
  <c r="BI90" i="1"/>
  <c r="BJ90" i="1"/>
  <c r="BK90" i="1"/>
  <c r="BL90" i="1"/>
  <c r="BM90" i="1"/>
  <c r="BN90" i="1"/>
  <c r="BO90" i="1"/>
  <c r="BP90" i="1"/>
  <c r="BQ90" i="1"/>
  <c r="BR90" i="1"/>
  <c r="BS90" i="1"/>
  <c r="BT90" i="1"/>
  <c r="BU90" i="1"/>
  <c r="BV90" i="1"/>
  <c r="BW90" i="1"/>
  <c r="BX90" i="1"/>
  <c r="CM90" i="1"/>
  <c r="CN90" i="1"/>
  <c r="CO90" i="1"/>
  <c r="CP90" i="1"/>
  <c r="CQ90" i="1"/>
  <c r="CR90" i="1"/>
  <c r="CS90" i="1"/>
  <c r="CT90" i="1"/>
  <c r="CU90" i="1"/>
  <c r="CV90" i="1"/>
  <c r="CW90" i="1"/>
  <c r="CX90" i="1"/>
  <c r="CY90" i="1"/>
  <c r="CZ90" i="1"/>
  <c r="DA90" i="1"/>
  <c r="DB90" i="1"/>
  <c r="DC90" i="1"/>
  <c r="DD90" i="1"/>
  <c r="DE90" i="1"/>
  <c r="DF90" i="1"/>
  <c r="DG90" i="1"/>
  <c r="DH90" i="1"/>
  <c r="DI90" i="1"/>
  <c r="DJ90" i="1"/>
  <c r="DK90" i="1"/>
  <c r="DL90" i="1"/>
  <c r="DM90" i="1"/>
  <c r="DN90" i="1"/>
  <c r="DO90" i="1"/>
  <c r="DP90" i="1"/>
  <c r="DQ90" i="1"/>
  <c r="DR90" i="1"/>
  <c r="DS90" i="1"/>
  <c r="DT90" i="1"/>
  <c r="DU90" i="1"/>
  <c r="DV90" i="1"/>
  <c r="DW90" i="1"/>
  <c r="DX90" i="1"/>
  <c r="DY90" i="1"/>
  <c r="DZ90" i="1"/>
  <c r="EA90" i="1"/>
  <c r="EB90" i="1"/>
  <c r="EC90" i="1"/>
  <c r="ED90" i="1"/>
  <c r="EE90" i="1"/>
  <c r="EF90" i="1"/>
  <c r="EG90" i="1"/>
  <c r="EH90" i="1"/>
  <c r="EI90" i="1"/>
  <c r="EJ90" i="1"/>
  <c r="EK90" i="1"/>
  <c r="EL90" i="1"/>
  <c r="EM90" i="1"/>
  <c r="EN90" i="1"/>
  <c r="EO90" i="1"/>
  <c r="EP90" i="1"/>
  <c r="EQ90" i="1"/>
  <c r="ER90" i="1"/>
  <c r="ES90" i="1"/>
  <c r="ET90" i="1"/>
  <c r="EU90" i="1"/>
  <c r="EV90" i="1"/>
  <c r="EW90" i="1"/>
  <c r="EX90" i="1"/>
  <c r="EY90" i="1"/>
  <c r="EZ90" i="1"/>
  <c r="FA90" i="1"/>
  <c r="FB90" i="1"/>
  <c r="FC90" i="1"/>
  <c r="FD90" i="1"/>
  <c r="FE90" i="1"/>
  <c r="FF90" i="1"/>
  <c r="FG90" i="1"/>
  <c r="FH90" i="1"/>
  <c r="FI90" i="1"/>
  <c r="FJ90" i="1"/>
  <c r="FK90" i="1"/>
  <c r="FL90" i="1"/>
  <c r="FM90" i="1"/>
  <c r="FN90" i="1"/>
  <c r="FO90" i="1"/>
  <c r="FP90" i="1"/>
  <c r="FQ90" i="1"/>
  <c r="FR90" i="1"/>
  <c r="FS90" i="1"/>
  <c r="FT90" i="1"/>
  <c r="FU90" i="1"/>
  <c r="FV90" i="1"/>
  <c r="FW90" i="1"/>
  <c r="FX90" i="1"/>
  <c r="FY90" i="1"/>
  <c r="FZ90" i="1"/>
  <c r="GA90" i="1"/>
  <c r="GB90" i="1"/>
  <c r="GC90" i="1"/>
  <c r="GD90" i="1"/>
  <c r="GE90" i="1"/>
  <c r="GF90" i="1"/>
  <c r="GG90" i="1"/>
  <c r="GH90" i="1"/>
  <c r="GI90" i="1"/>
  <c r="GJ90" i="1"/>
  <c r="GK90" i="1"/>
  <c r="GL90" i="1"/>
  <c r="GM90" i="1"/>
  <c r="GN90" i="1"/>
  <c r="GO90" i="1"/>
  <c r="GP90" i="1"/>
  <c r="GQ90" i="1"/>
  <c r="GR90" i="1"/>
  <c r="GS90" i="1"/>
  <c r="GT90" i="1"/>
  <c r="GU90" i="1"/>
  <c r="GV90" i="1"/>
  <c r="GW90" i="1"/>
  <c r="GX90" i="1"/>
  <c r="C92" i="1"/>
  <c r="D92" i="1"/>
  <c r="R92" i="1"/>
  <c r="AC92" i="1"/>
  <c r="CQ92" i="1" s="1"/>
  <c r="P92" i="1" s="1"/>
  <c r="CP92" i="1" s="1"/>
  <c r="O92" i="1" s="1"/>
  <c r="AE92" i="1"/>
  <c r="AD92" i="1" s="1"/>
  <c r="CR92" i="1" s="1"/>
  <c r="Q92" i="1" s="1"/>
  <c r="AF92" i="1"/>
  <c r="CT92" i="1" s="1"/>
  <c r="S92" i="1" s="1"/>
  <c r="AG92" i="1"/>
  <c r="CU92" i="1" s="1"/>
  <c r="T92" i="1" s="1"/>
  <c r="AH92" i="1"/>
  <c r="AI92" i="1"/>
  <c r="AJ92" i="1"/>
  <c r="CX92" i="1" s="1"/>
  <c r="W92" i="1" s="1"/>
  <c r="CS92" i="1"/>
  <c r="CV92" i="1"/>
  <c r="U92" i="1" s="1"/>
  <c r="CW92" i="1"/>
  <c r="V92" i="1" s="1"/>
  <c r="AI103" i="1" s="1"/>
  <c r="FR92" i="1"/>
  <c r="GL92" i="1"/>
  <c r="GN92" i="1"/>
  <c r="GP92" i="1"/>
  <c r="GV92" i="1"/>
  <c r="GX92" i="1"/>
  <c r="C93" i="1"/>
  <c r="D93" i="1"/>
  <c r="I93" i="1"/>
  <c r="W93" i="1"/>
  <c r="AC93" i="1"/>
  <c r="AD93" i="1"/>
  <c r="CR93" i="1" s="1"/>
  <c r="Q93" i="1" s="1"/>
  <c r="AE93" i="1"/>
  <c r="AF93" i="1"/>
  <c r="AG93" i="1"/>
  <c r="CU93" i="1" s="1"/>
  <c r="T93" i="1" s="1"/>
  <c r="AH93" i="1"/>
  <c r="CV93" i="1" s="1"/>
  <c r="U93" i="1" s="1"/>
  <c r="AI93" i="1"/>
  <c r="AJ93" i="1"/>
  <c r="CS93" i="1"/>
  <c r="R93" i="1" s="1"/>
  <c r="CT93" i="1"/>
  <c r="S93" i="1" s="1"/>
  <c r="CW93" i="1"/>
  <c r="V93" i="1" s="1"/>
  <c r="CX93" i="1"/>
  <c r="FR93" i="1"/>
  <c r="GK93" i="1"/>
  <c r="GL93" i="1"/>
  <c r="GN93" i="1"/>
  <c r="GP93" i="1"/>
  <c r="GV93" i="1"/>
  <c r="GX93" i="1"/>
  <c r="C94" i="1"/>
  <c r="D94" i="1"/>
  <c r="I94" i="1"/>
  <c r="X94" i="1"/>
  <c r="AC94" i="1"/>
  <c r="AB94" i="1" s="1"/>
  <c r="AD94" i="1"/>
  <c r="CR94" i="1" s="1"/>
  <c r="Q94" i="1" s="1"/>
  <c r="AE94" i="1"/>
  <c r="CS94" i="1" s="1"/>
  <c r="R94" i="1" s="1"/>
  <c r="GK94" i="1" s="1"/>
  <c r="AF94" i="1"/>
  <c r="AG94" i="1"/>
  <c r="AH94" i="1"/>
  <c r="CV94" i="1" s="1"/>
  <c r="U94" i="1" s="1"/>
  <c r="AI94" i="1"/>
  <c r="CW94" i="1" s="1"/>
  <c r="V94" i="1" s="1"/>
  <c r="AJ94" i="1"/>
  <c r="CQ94" i="1"/>
  <c r="P94" i="1" s="1"/>
  <c r="CP94" i="1" s="1"/>
  <c r="O94" i="1" s="1"/>
  <c r="CT94" i="1"/>
  <c r="S94" i="1" s="1"/>
  <c r="CZ94" i="1" s="1"/>
  <c r="Y94" i="1" s="1"/>
  <c r="CU94" i="1"/>
  <c r="T94" i="1" s="1"/>
  <c r="AG103" i="1" s="1"/>
  <c r="CX94" i="1"/>
  <c r="W94" i="1" s="1"/>
  <c r="CY94" i="1"/>
  <c r="FR94" i="1"/>
  <c r="GL94" i="1"/>
  <c r="GO94" i="1"/>
  <c r="GP94" i="1"/>
  <c r="GV94" i="1"/>
  <c r="GX94" i="1" s="1"/>
  <c r="C95" i="1"/>
  <c r="D95" i="1"/>
  <c r="I95" i="1"/>
  <c r="AC95" i="1"/>
  <c r="AE95" i="1"/>
  <c r="AF95" i="1"/>
  <c r="CT95" i="1" s="1"/>
  <c r="S95" i="1" s="1"/>
  <c r="AG95" i="1"/>
  <c r="AH95" i="1"/>
  <c r="AI95" i="1"/>
  <c r="CW95" i="1" s="1"/>
  <c r="V95" i="1" s="1"/>
  <c r="AJ95" i="1"/>
  <c r="CX95" i="1" s="1"/>
  <c r="W95" i="1" s="1"/>
  <c r="CQ95" i="1"/>
  <c r="P95" i="1" s="1"/>
  <c r="CU95" i="1"/>
  <c r="T95" i="1" s="1"/>
  <c r="CV95" i="1"/>
  <c r="U95" i="1" s="1"/>
  <c r="FR95" i="1"/>
  <c r="GL95" i="1"/>
  <c r="GO95" i="1"/>
  <c r="GP95" i="1"/>
  <c r="GV95" i="1"/>
  <c r="GX95" i="1" s="1"/>
  <c r="C96" i="1"/>
  <c r="D96" i="1"/>
  <c r="I96" i="1"/>
  <c r="AB96" i="1"/>
  <c r="AC96" i="1"/>
  <c r="CQ96" i="1" s="1"/>
  <c r="P96" i="1" s="1"/>
  <c r="AE96" i="1"/>
  <c r="AD96" i="1" s="1"/>
  <c r="CR96" i="1" s="1"/>
  <c r="Q96" i="1" s="1"/>
  <c r="AF96" i="1"/>
  <c r="CT96" i="1" s="1"/>
  <c r="AG96" i="1"/>
  <c r="CU96" i="1" s="1"/>
  <c r="T96" i="1" s="1"/>
  <c r="AH96" i="1"/>
  <c r="AI96" i="1"/>
  <c r="AJ96" i="1"/>
  <c r="CX96" i="1" s="1"/>
  <c r="CS96" i="1"/>
  <c r="R96" i="1" s="1"/>
  <c r="GK96" i="1" s="1"/>
  <c r="CV96" i="1"/>
  <c r="U96" i="1" s="1"/>
  <c r="CW96" i="1"/>
  <c r="V96" i="1" s="1"/>
  <c r="FR96" i="1"/>
  <c r="GL96" i="1"/>
  <c r="GO96" i="1"/>
  <c r="GP96" i="1"/>
  <c r="GV96" i="1"/>
  <c r="GX96" i="1"/>
  <c r="O97" i="1"/>
  <c r="P97" i="1"/>
  <c r="Q97" i="1"/>
  <c r="R97" i="1"/>
  <c r="GK97" i="1" s="1"/>
  <c r="S97" i="1"/>
  <c r="T97" i="1"/>
  <c r="U97" i="1"/>
  <c r="V97" i="1"/>
  <c r="W97" i="1"/>
  <c r="X97" i="1"/>
  <c r="Y97" i="1"/>
  <c r="AB97" i="1"/>
  <c r="CP97" i="1" s="1"/>
  <c r="AC97" i="1"/>
  <c r="AD97" i="1"/>
  <c r="AE97" i="1"/>
  <c r="AF97" i="1"/>
  <c r="AG97" i="1"/>
  <c r="AH97" i="1"/>
  <c r="AI97" i="1"/>
  <c r="AJ97" i="1"/>
  <c r="FR97" i="1"/>
  <c r="GL97" i="1"/>
  <c r="GO97" i="1"/>
  <c r="GP97" i="1"/>
  <c r="CD103" i="1" s="1"/>
  <c r="GV97" i="1"/>
  <c r="GX97" i="1" s="1"/>
  <c r="O98" i="1"/>
  <c r="P98" i="1"/>
  <c r="Q98" i="1"/>
  <c r="R98" i="1"/>
  <c r="S98" i="1"/>
  <c r="T98" i="1"/>
  <c r="U98" i="1"/>
  <c r="V98" i="1"/>
  <c r="W98" i="1"/>
  <c r="X98" i="1"/>
  <c r="Y98" i="1"/>
  <c r="AB98" i="1"/>
  <c r="AC98" i="1"/>
  <c r="AD98" i="1"/>
  <c r="AE98" i="1"/>
  <c r="AF98" i="1"/>
  <c r="AG98" i="1"/>
  <c r="AH98" i="1"/>
  <c r="AI98" i="1"/>
  <c r="AJ98" i="1"/>
  <c r="CP98" i="1"/>
  <c r="FR98" i="1"/>
  <c r="GK98" i="1"/>
  <c r="GL98" i="1"/>
  <c r="GM98" i="1"/>
  <c r="GN98" i="1"/>
  <c r="GO98" i="1"/>
  <c r="GP98" i="1"/>
  <c r="GV98" i="1"/>
  <c r="GX98" i="1"/>
  <c r="O99" i="1"/>
  <c r="P99" i="1"/>
  <c r="Q99" i="1"/>
  <c r="R99" i="1"/>
  <c r="GK99" i="1" s="1"/>
  <c r="S99" i="1"/>
  <c r="T99" i="1"/>
  <c r="U99" i="1"/>
  <c r="V99" i="1"/>
  <c r="W99" i="1"/>
  <c r="X99" i="1"/>
  <c r="Y99" i="1"/>
  <c r="AB99" i="1"/>
  <c r="CP99" i="1" s="1"/>
  <c r="AC99" i="1"/>
  <c r="AD99" i="1"/>
  <c r="AE99" i="1"/>
  <c r="AF99" i="1"/>
  <c r="AG99" i="1"/>
  <c r="AH99" i="1"/>
  <c r="AI99" i="1"/>
  <c r="AJ99" i="1"/>
  <c r="FR99" i="1"/>
  <c r="GL99" i="1"/>
  <c r="GO99" i="1"/>
  <c r="GP99" i="1"/>
  <c r="GV99" i="1"/>
  <c r="GX99" i="1" s="1"/>
  <c r="O100" i="1"/>
  <c r="P100" i="1"/>
  <c r="Q100" i="1"/>
  <c r="R100" i="1"/>
  <c r="S100" i="1"/>
  <c r="T100" i="1"/>
  <c r="U100" i="1"/>
  <c r="V100" i="1"/>
  <c r="W100" i="1"/>
  <c r="X100" i="1"/>
  <c r="Y100" i="1"/>
  <c r="AB100" i="1"/>
  <c r="AC100" i="1"/>
  <c r="AD100" i="1"/>
  <c r="AE100" i="1"/>
  <c r="AF100" i="1"/>
  <c r="AG100" i="1"/>
  <c r="AH100" i="1"/>
  <c r="AI100" i="1"/>
  <c r="AJ100" i="1"/>
  <c r="CP100" i="1"/>
  <c r="FR100" i="1"/>
  <c r="GK100" i="1"/>
  <c r="GL100" i="1"/>
  <c r="GM100" i="1"/>
  <c r="GN100" i="1"/>
  <c r="GO100" i="1"/>
  <c r="GP100" i="1"/>
  <c r="GV100" i="1"/>
  <c r="GX100" i="1"/>
  <c r="O101" i="1"/>
  <c r="P101" i="1"/>
  <c r="Q101" i="1"/>
  <c r="R101" i="1"/>
  <c r="GK101" i="1" s="1"/>
  <c r="S101" i="1"/>
  <c r="T101" i="1"/>
  <c r="U101" i="1"/>
  <c r="V101" i="1"/>
  <c r="W101" i="1"/>
  <c r="X101" i="1"/>
  <c r="Y101" i="1"/>
  <c r="AB101" i="1"/>
  <c r="CP101" i="1" s="1"/>
  <c r="AC101" i="1"/>
  <c r="AD101" i="1"/>
  <c r="AE101" i="1"/>
  <c r="AF101" i="1"/>
  <c r="AG101" i="1"/>
  <c r="AH101" i="1"/>
  <c r="AI101" i="1"/>
  <c r="AJ101" i="1"/>
  <c r="FR101" i="1"/>
  <c r="GL101" i="1"/>
  <c r="GO101" i="1"/>
  <c r="GP101" i="1"/>
  <c r="GV101" i="1"/>
  <c r="GX101" i="1" s="1"/>
  <c r="B103" i="1"/>
  <c r="B90" i="1" s="1"/>
  <c r="C103" i="1"/>
  <c r="C90" i="1" s="1"/>
  <c r="D103" i="1"/>
  <c r="F103" i="1"/>
  <c r="F90" i="1" s="1"/>
  <c r="G103" i="1"/>
  <c r="G90" i="1" s="1"/>
  <c r="BB103" i="1"/>
  <c r="BB90" i="1" s="1"/>
  <c r="BX103" i="1"/>
  <c r="AO103" i="1" s="1"/>
  <c r="CK103" i="1"/>
  <c r="CK90" i="1" s="1"/>
  <c r="CL103" i="1"/>
  <c r="CL90" i="1" s="1"/>
  <c r="F116" i="1"/>
  <c r="B132" i="1"/>
  <c r="B22" i="1" s="1"/>
  <c r="C132" i="1"/>
  <c r="C22" i="1" s="1"/>
  <c r="D132" i="1"/>
  <c r="D22" i="1" s="1"/>
  <c r="F132" i="1"/>
  <c r="F22" i="1" s="1"/>
  <c r="G22" i="1"/>
  <c r="D162" i="1"/>
  <c r="B164" i="1"/>
  <c r="E164" i="1"/>
  <c r="F164" i="1"/>
  <c r="Z164" i="1"/>
  <c r="AA164" i="1"/>
  <c r="AM164" i="1"/>
  <c r="AN164" i="1"/>
  <c r="AS164" i="1"/>
  <c r="BD164" i="1"/>
  <c r="BE164" i="1"/>
  <c r="BF164" i="1"/>
  <c r="BG164" i="1"/>
  <c r="BH164" i="1"/>
  <c r="BI164" i="1"/>
  <c r="BJ164" i="1"/>
  <c r="BK164" i="1"/>
  <c r="BL164" i="1"/>
  <c r="BM164" i="1"/>
  <c r="BN164" i="1"/>
  <c r="BO164" i="1"/>
  <c r="BP164" i="1"/>
  <c r="BQ164" i="1"/>
  <c r="BR164" i="1"/>
  <c r="BS164" i="1"/>
  <c r="BT164" i="1"/>
  <c r="BU164" i="1"/>
  <c r="BV164" i="1"/>
  <c r="BW164" i="1"/>
  <c r="BX164" i="1"/>
  <c r="CI164" i="1"/>
  <c r="CK164" i="1"/>
  <c r="CM164" i="1"/>
  <c r="CN164" i="1"/>
  <c r="CO164" i="1"/>
  <c r="CP164" i="1"/>
  <c r="CQ164" i="1"/>
  <c r="CR164" i="1"/>
  <c r="CS164" i="1"/>
  <c r="CT164" i="1"/>
  <c r="CU164" i="1"/>
  <c r="CV164" i="1"/>
  <c r="CW164" i="1"/>
  <c r="CX164" i="1"/>
  <c r="CY164" i="1"/>
  <c r="CZ164" i="1"/>
  <c r="DA164" i="1"/>
  <c r="DB164" i="1"/>
  <c r="DC164" i="1"/>
  <c r="DD164" i="1"/>
  <c r="DE164" i="1"/>
  <c r="DF164" i="1"/>
  <c r="DG164" i="1"/>
  <c r="DH164" i="1"/>
  <c r="DI164" i="1"/>
  <c r="DJ164" i="1"/>
  <c r="DK164" i="1"/>
  <c r="DL164" i="1"/>
  <c r="DM164" i="1"/>
  <c r="DN164" i="1"/>
  <c r="DO164" i="1"/>
  <c r="DP164" i="1"/>
  <c r="DQ164" i="1"/>
  <c r="DR164" i="1"/>
  <c r="DS164" i="1"/>
  <c r="DT164" i="1"/>
  <c r="DU164" i="1"/>
  <c r="DV164" i="1"/>
  <c r="DW164" i="1"/>
  <c r="DX164" i="1"/>
  <c r="DY164" i="1"/>
  <c r="DZ164" i="1"/>
  <c r="EA164" i="1"/>
  <c r="EB164" i="1"/>
  <c r="EC164" i="1"/>
  <c r="ED164" i="1"/>
  <c r="EE164" i="1"/>
  <c r="EF164" i="1"/>
  <c r="EG164" i="1"/>
  <c r="EH164" i="1"/>
  <c r="EI164" i="1"/>
  <c r="EJ164" i="1"/>
  <c r="EK164" i="1"/>
  <c r="EL164" i="1"/>
  <c r="EM164" i="1"/>
  <c r="EN164" i="1"/>
  <c r="EO164" i="1"/>
  <c r="EP164" i="1"/>
  <c r="EQ164" i="1"/>
  <c r="ER164" i="1"/>
  <c r="ES164" i="1"/>
  <c r="ET164" i="1"/>
  <c r="EU164" i="1"/>
  <c r="EV164" i="1"/>
  <c r="EW164" i="1"/>
  <c r="EX164" i="1"/>
  <c r="EY164" i="1"/>
  <c r="EZ164" i="1"/>
  <c r="FA164" i="1"/>
  <c r="FB164" i="1"/>
  <c r="FC164" i="1"/>
  <c r="FD164" i="1"/>
  <c r="FE164" i="1"/>
  <c r="FF164" i="1"/>
  <c r="FG164" i="1"/>
  <c r="FH164" i="1"/>
  <c r="FI164" i="1"/>
  <c r="FJ164" i="1"/>
  <c r="FK164" i="1"/>
  <c r="FL164" i="1"/>
  <c r="FM164" i="1"/>
  <c r="FN164" i="1"/>
  <c r="FO164" i="1"/>
  <c r="FP164" i="1"/>
  <c r="FQ164" i="1"/>
  <c r="FR164" i="1"/>
  <c r="FS164" i="1"/>
  <c r="FT164" i="1"/>
  <c r="FU164" i="1"/>
  <c r="FV164" i="1"/>
  <c r="FW164" i="1"/>
  <c r="FX164" i="1"/>
  <c r="FY164" i="1"/>
  <c r="FZ164" i="1"/>
  <c r="GA164" i="1"/>
  <c r="GB164" i="1"/>
  <c r="GC164" i="1"/>
  <c r="GD164" i="1"/>
  <c r="GE164" i="1"/>
  <c r="GF164" i="1"/>
  <c r="GG164" i="1"/>
  <c r="GH164" i="1"/>
  <c r="GI164" i="1"/>
  <c r="GJ164" i="1"/>
  <c r="GK164" i="1"/>
  <c r="GL164" i="1"/>
  <c r="GM164" i="1"/>
  <c r="GN164" i="1"/>
  <c r="GO164" i="1"/>
  <c r="GP164" i="1"/>
  <c r="GQ164" i="1"/>
  <c r="GR164" i="1"/>
  <c r="GS164" i="1"/>
  <c r="GT164" i="1"/>
  <c r="GU164" i="1"/>
  <c r="GV164" i="1"/>
  <c r="GW164" i="1"/>
  <c r="GX164" i="1"/>
  <c r="C166" i="1"/>
  <c r="D166" i="1"/>
  <c r="AC166" i="1"/>
  <c r="CQ166" i="1" s="1"/>
  <c r="P166" i="1" s="1"/>
  <c r="AE166" i="1"/>
  <c r="AD166" i="1" s="1"/>
  <c r="AF166" i="1"/>
  <c r="AB166" i="1" s="1"/>
  <c r="AG166" i="1"/>
  <c r="CU166" i="1" s="1"/>
  <c r="T166" i="1" s="1"/>
  <c r="AH166" i="1"/>
  <c r="AI166" i="1"/>
  <c r="AJ166" i="1"/>
  <c r="CX166" i="1" s="1"/>
  <c r="W166" i="1" s="1"/>
  <c r="AJ169" i="1" s="1"/>
  <c r="CR166" i="1"/>
  <c r="Q166" i="1" s="1"/>
  <c r="CS166" i="1"/>
  <c r="R166" i="1" s="1"/>
  <c r="CV166" i="1"/>
  <c r="U166" i="1" s="1"/>
  <c r="AH169" i="1" s="1"/>
  <c r="CW166" i="1"/>
  <c r="V166" i="1" s="1"/>
  <c r="AI169" i="1" s="1"/>
  <c r="V169" i="1" s="1"/>
  <c r="FR166" i="1"/>
  <c r="BY169" i="1" s="1"/>
  <c r="AP169" i="1" s="1"/>
  <c r="GL166" i="1"/>
  <c r="GN166" i="1"/>
  <c r="GO166" i="1"/>
  <c r="GV166" i="1"/>
  <c r="GX166" i="1"/>
  <c r="C167" i="1"/>
  <c r="D167" i="1"/>
  <c r="S167" i="1"/>
  <c r="CY167" i="1" s="1"/>
  <c r="X167" i="1" s="1"/>
  <c r="U167" i="1"/>
  <c r="W167" i="1"/>
  <c r="AC167" i="1"/>
  <c r="AD167" i="1"/>
  <c r="CR167" i="1" s="1"/>
  <c r="Q167" i="1" s="1"/>
  <c r="AE167" i="1"/>
  <c r="CS167" i="1" s="1"/>
  <c r="R167" i="1" s="1"/>
  <c r="AF167" i="1"/>
  <c r="AG167" i="1"/>
  <c r="CU167" i="1" s="1"/>
  <c r="T167" i="1" s="1"/>
  <c r="AG169" i="1" s="1"/>
  <c r="AH167" i="1"/>
  <c r="AI167" i="1"/>
  <c r="CW167" i="1" s="1"/>
  <c r="V167" i="1" s="1"/>
  <c r="AJ167" i="1"/>
  <c r="CT167" i="1"/>
  <c r="CV167" i="1"/>
  <c r="CX167" i="1"/>
  <c r="CZ167" i="1"/>
  <c r="Y167" i="1" s="1"/>
  <c r="FR167" i="1"/>
  <c r="GK167" i="1"/>
  <c r="GL167" i="1"/>
  <c r="GN167" i="1"/>
  <c r="GO167" i="1"/>
  <c r="GV167" i="1"/>
  <c r="GX167" i="1" s="1"/>
  <c r="B169" i="1"/>
  <c r="C169" i="1"/>
  <c r="C164" i="1" s="1"/>
  <c r="D169" i="1"/>
  <c r="D164" i="1" s="1"/>
  <c r="F169" i="1"/>
  <c r="G164" i="1"/>
  <c r="AD169" i="1"/>
  <c r="AQ169" i="1"/>
  <c r="AQ164" i="1" s="1"/>
  <c r="BB169" i="1"/>
  <c r="BX169" i="1"/>
  <c r="BZ169" i="1"/>
  <c r="BZ164" i="1" s="1"/>
  <c r="CB169" i="1"/>
  <c r="AS169" i="1" s="1"/>
  <c r="CI169" i="1"/>
  <c r="AZ169" i="1" s="1"/>
  <c r="CK169" i="1"/>
  <c r="CL169" i="1"/>
  <c r="CL164" i="1" s="1"/>
  <c r="F179" i="1"/>
  <c r="F186" i="1"/>
  <c r="E17" i="2" s="1"/>
  <c r="B198" i="1"/>
  <c r="B18" i="1" s="1"/>
  <c r="C198" i="1"/>
  <c r="C18" i="1" s="1"/>
  <c r="D198" i="1"/>
  <c r="D18" i="1" s="1"/>
  <c r="F198" i="1"/>
  <c r="F18" i="1" s="1"/>
  <c r="G198" i="1"/>
  <c r="G18" i="1" s="1"/>
  <c r="G110" i="5" l="1"/>
  <c r="O110" i="5" s="1"/>
  <c r="I93" i="5"/>
  <c r="P93" i="5" s="1"/>
  <c r="G73" i="5"/>
  <c r="O73" i="5" s="1"/>
  <c r="G93" i="5"/>
  <c r="O93" i="5" s="1"/>
  <c r="G222" i="5"/>
  <c r="G100" i="5"/>
  <c r="O100" i="5" s="1"/>
  <c r="I83" i="5"/>
  <c r="P83" i="5" s="1"/>
  <c r="G118" i="5"/>
  <c r="O118" i="5" s="1"/>
  <c r="G284" i="5"/>
  <c r="I110" i="5"/>
  <c r="P110" i="5" s="1"/>
  <c r="I158" i="5"/>
  <c r="P158" i="5" s="1"/>
  <c r="H264" i="5"/>
  <c r="G128" i="5"/>
  <c r="O128" i="5" s="1"/>
  <c r="I73" i="5"/>
  <c r="P73" i="5" s="1"/>
  <c r="I118" i="5"/>
  <c r="P118" i="5" s="1"/>
  <c r="G158" i="5"/>
  <c r="O158" i="5" s="1"/>
  <c r="I128" i="5"/>
  <c r="P128" i="5" s="1"/>
  <c r="I100" i="5"/>
  <c r="P100" i="5" s="1"/>
  <c r="G83" i="5"/>
  <c r="O83" i="5" s="1"/>
  <c r="I284" i="5"/>
  <c r="I222" i="5"/>
  <c r="AJ164" i="1"/>
  <c r="W169" i="1"/>
  <c r="T169" i="1"/>
  <c r="AG164" i="1"/>
  <c r="AD164" i="1"/>
  <c r="Q169" i="1"/>
  <c r="CT166" i="1"/>
  <c r="S166" i="1" s="1"/>
  <c r="AG90" i="1"/>
  <c r="T103" i="1"/>
  <c r="CY93" i="1"/>
  <c r="X93" i="1" s="1"/>
  <c r="CZ93" i="1"/>
  <c r="Y93" i="1" s="1"/>
  <c r="AI90" i="1"/>
  <c r="V103" i="1"/>
  <c r="CY53" i="1"/>
  <c r="X53" i="1" s="1"/>
  <c r="CZ53" i="1"/>
  <c r="Y53" i="1" s="1"/>
  <c r="AB167" i="1"/>
  <c r="CQ167" i="1"/>
  <c r="P167" i="1" s="1"/>
  <c r="AP164" i="1"/>
  <c r="F178" i="1"/>
  <c r="G17" i="2" s="1"/>
  <c r="AZ164" i="1"/>
  <c r="F180" i="1"/>
  <c r="AE169" i="1"/>
  <c r="GK166" i="1"/>
  <c r="BB164" i="1"/>
  <c r="F182" i="1"/>
  <c r="AH164" i="1"/>
  <c r="U169" i="1"/>
  <c r="CD90" i="1"/>
  <c r="AU103" i="1"/>
  <c r="CJ169" i="1"/>
  <c r="V164" i="1"/>
  <c r="F192" i="1"/>
  <c r="CP166" i="1"/>
  <c r="O166" i="1" s="1"/>
  <c r="AI164" i="1"/>
  <c r="GM94" i="1"/>
  <c r="GN94" i="1"/>
  <c r="CY51" i="1"/>
  <c r="X51" i="1" s="1"/>
  <c r="CZ51" i="1"/>
  <c r="Y51" i="1" s="1"/>
  <c r="BC169" i="1"/>
  <c r="BY164" i="1"/>
  <c r="AO90" i="1"/>
  <c r="F107" i="1"/>
  <c r="AO132" i="1"/>
  <c r="GM97" i="1"/>
  <c r="GN97" i="1"/>
  <c r="CX104" i="3"/>
  <c r="CX101" i="3"/>
  <c r="CX102" i="3"/>
  <c r="CX103" i="3"/>
  <c r="GK92" i="1"/>
  <c r="BB58" i="1"/>
  <c r="GM55" i="1"/>
  <c r="GN55" i="1"/>
  <c r="CR50" i="1"/>
  <c r="Q50" i="1" s="1"/>
  <c r="AB50" i="1"/>
  <c r="CZ48" i="1"/>
  <c r="Y48" i="1" s="1"/>
  <c r="CY48" i="1"/>
  <c r="X48" i="1" s="1"/>
  <c r="CY46" i="1"/>
  <c r="X46" i="1" s="1"/>
  <c r="CZ46" i="1"/>
  <c r="Y46" i="1" s="1"/>
  <c r="GM99" i="1"/>
  <c r="GN99" i="1"/>
  <c r="GM92" i="1"/>
  <c r="CB164" i="1"/>
  <c r="GM101" i="1"/>
  <c r="GN101" i="1"/>
  <c r="W96" i="1"/>
  <c r="S96" i="1"/>
  <c r="BZ103" i="1"/>
  <c r="CJ103" i="1"/>
  <c r="AB92" i="1"/>
  <c r="CY56" i="1"/>
  <c r="X56" i="1" s="1"/>
  <c r="CZ56" i="1"/>
  <c r="Y56" i="1" s="1"/>
  <c r="GM52" i="1"/>
  <c r="GN52" i="1"/>
  <c r="CP48" i="1"/>
  <c r="O48" i="1" s="1"/>
  <c r="GK45" i="1"/>
  <c r="CY45" i="1"/>
  <c r="X45" i="1" s="1"/>
  <c r="GK31" i="1"/>
  <c r="CZ31" i="1"/>
  <c r="Y31" i="1" s="1"/>
  <c r="BC103" i="1"/>
  <c r="AH103" i="1"/>
  <c r="GX42" i="1"/>
  <c r="AO169" i="1"/>
  <c r="CG169" i="1"/>
  <c r="CC169" i="1"/>
  <c r="CS95" i="1"/>
  <c r="R95" i="1" s="1"/>
  <c r="AE103" i="1" s="1"/>
  <c r="AD95" i="1"/>
  <c r="CQ93" i="1"/>
  <c r="P93" i="1" s="1"/>
  <c r="CP93" i="1" s="1"/>
  <c r="O93" i="1" s="1"/>
  <c r="AB93" i="1"/>
  <c r="BY103" i="1"/>
  <c r="AJ103" i="1"/>
  <c r="CY92" i="1"/>
  <c r="X92" i="1" s="1"/>
  <c r="GO92" i="1" s="1"/>
  <c r="CZ92" i="1"/>
  <c r="Y92" i="1" s="1"/>
  <c r="AF103" i="1"/>
  <c r="BY26" i="1"/>
  <c r="CI58" i="1"/>
  <c r="AP58" i="1"/>
  <c r="CS49" i="1"/>
  <c r="R49" i="1" s="1"/>
  <c r="GK49" i="1" s="1"/>
  <c r="AD49" i="1"/>
  <c r="GM40" i="1"/>
  <c r="CS39" i="1"/>
  <c r="R39" i="1" s="1"/>
  <c r="GK39" i="1" s="1"/>
  <c r="AD39" i="1"/>
  <c r="CY35" i="1"/>
  <c r="X35" i="1" s="1"/>
  <c r="CX89" i="3"/>
  <c r="CX90" i="3"/>
  <c r="BZ26" i="1"/>
  <c r="AQ58" i="1"/>
  <c r="CQ56" i="1"/>
  <c r="P56" i="1" s="1"/>
  <c r="CP56" i="1" s="1"/>
  <c r="O56" i="1" s="1"/>
  <c r="AB56" i="1"/>
  <c r="CP50" i="1"/>
  <c r="O50" i="1" s="1"/>
  <c r="AB48" i="1"/>
  <c r="CQ46" i="1"/>
  <c r="P46" i="1" s="1"/>
  <c r="CP46" i="1" s="1"/>
  <c r="O46" i="1" s="1"/>
  <c r="AB46" i="1"/>
  <c r="CZ38" i="1"/>
  <c r="Y38" i="1" s="1"/>
  <c r="CY38" i="1"/>
  <c r="X38" i="1" s="1"/>
  <c r="GM38" i="1" s="1"/>
  <c r="CG103" i="1"/>
  <c r="CX92" i="3"/>
  <c r="CX96" i="3"/>
  <c r="CX93" i="3"/>
  <c r="CX94" i="3"/>
  <c r="CX95" i="3"/>
  <c r="CX91" i="3"/>
  <c r="F62" i="1"/>
  <c r="CG58" i="1"/>
  <c r="CQ53" i="1"/>
  <c r="P53" i="1" s="1"/>
  <c r="CP53" i="1" s="1"/>
  <c r="O53" i="1" s="1"/>
  <c r="AB53" i="1"/>
  <c r="CQ51" i="1"/>
  <c r="P51" i="1" s="1"/>
  <c r="CP51" i="1" s="1"/>
  <c r="O51" i="1" s="1"/>
  <c r="AB51" i="1"/>
  <c r="T50" i="1"/>
  <c r="CS47" i="1"/>
  <c r="R47" i="1" s="1"/>
  <c r="AD47" i="1"/>
  <c r="CZ45" i="1"/>
  <c r="Y45" i="1" s="1"/>
  <c r="GM45" i="1" s="1"/>
  <c r="CZ34" i="1"/>
  <c r="Y34" i="1" s="1"/>
  <c r="CZ32" i="1"/>
  <c r="Y32" i="1" s="1"/>
  <c r="CY32" i="1"/>
  <c r="X32" i="1" s="1"/>
  <c r="GM32" i="1" s="1"/>
  <c r="CX100" i="3"/>
  <c r="CX97" i="3"/>
  <c r="CX98" i="3"/>
  <c r="CX99" i="3"/>
  <c r="CL26" i="1"/>
  <c r="BC58" i="1"/>
  <c r="CY50" i="1"/>
  <c r="X50" i="1" s="1"/>
  <c r="CZ50" i="1"/>
  <c r="Y50" i="1" s="1"/>
  <c r="GO45" i="1"/>
  <c r="R42" i="1"/>
  <c r="GK42" i="1" s="1"/>
  <c r="CZ39" i="1"/>
  <c r="Y39" i="1" s="1"/>
  <c r="GO38" i="1"/>
  <c r="GN33" i="1"/>
  <c r="GM33" i="1"/>
  <c r="GN32" i="1"/>
  <c r="CX72" i="3"/>
  <c r="CX73" i="3"/>
  <c r="GX44" i="1"/>
  <c r="AB44" i="1"/>
  <c r="Q42" i="1"/>
  <c r="CY41" i="1"/>
  <c r="X41" i="1" s="1"/>
  <c r="AB38" i="1"/>
  <c r="CS35" i="1"/>
  <c r="R35" i="1" s="1"/>
  <c r="GK35" i="1" s="1"/>
  <c r="AD35" i="1"/>
  <c r="CR35" i="1" s="1"/>
  <c r="Q35" i="1" s="1"/>
  <c r="CX16" i="3"/>
  <c r="CX17" i="3"/>
  <c r="CX14" i="3"/>
  <c r="CX18" i="3"/>
  <c r="CX15" i="3"/>
  <c r="I36" i="1"/>
  <c r="GX36" i="1" s="1"/>
  <c r="CJ58" i="1" s="1"/>
  <c r="W35" i="1"/>
  <c r="R34" i="1"/>
  <c r="GK34" i="1" s="1"/>
  <c r="AB32" i="1"/>
  <c r="CX76" i="3"/>
  <c r="CX77" i="3"/>
  <c r="CX74" i="3"/>
  <c r="CX78" i="3"/>
  <c r="CX75" i="3"/>
  <c r="CZ43" i="1"/>
  <c r="Y43" i="1" s="1"/>
  <c r="GO43" i="1" s="1"/>
  <c r="AB42" i="1"/>
  <c r="CS41" i="1"/>
  <c r="R41" i="1" s="1"/>
  <c r="AD41" i="1"/>
  <c r="CZ40" i="1"/>
  <c r="Y40" i="1" s="1"/>
  <c r="GO40" i="1" s="1"/>
  <c r="CS37" i="1"/>
  <c r="R37" i="1" s="1"/>
  <c r="AD37" i="1"/>
  <c r="AB35" i="1"/>
  <c r="W34" i="1"/>
  <c r="CX69" i="3"/>
  <c r="CX70" i="3"/>
  <c r="R44" i="1"/>
  <c r="GK44" i="1" s="1"/>
  <c r="W42" i="1"/>
  <c r="CY39" i="1"/>
  <c r="X39" i="1" s="1"/>
  <c r="CP35" i="1"/>
  <c r="O35" i="1" s="1"/>
  <c r="CR30" i="1"/>
  <c r="Q30" i="1" s="1"/>
  <c r="AB30" i="1"/>
  <c r="CX4" i="3"/>
  <c r="CX1" i="3"/>
  <c r="CX5" i="3"/>
  <c r="CX2" i="3"/>
  <c r="CX6" i="3"/>
  <c r="CX39" i="3"/>
  <c r="CX23" i="3"/>
  <c r="I44" i="1"/>
  <c r="U44" i="1" s="1"/>
  <c r="I42" i="1"/>
  <c r="P42" i="1" s="1"/>
  <c r="P34" i="1"/>
  <c r="CX8" i="3"/>
  <c r="CX12" i="3"/>
  <c r="CX9" i="3"/>
  <c r="CX10" i="3"/>
  <c r="CY31" i="1"/>
  <c r="X31" i="1" s="1"/>
  <c r="GM31" i="1" s="1"/>
  <c r="GM28" i="1"/>
  <c r="GN28" i="1"/>
  <c r="CX3" i="3"/>
  <c r="CX40" i="3"/>
  <c r="CX44" i="3"/>
  <c r="CX48" i="3"/>
  <c r="CX41" i="3"/>
  <c r="CX45" i="3"/>
  <c r="CX49" i="3"/>
  <c r="CX42" i="3"/>
  <c r="CX46" i="3"/>
  <c r="CX50" i="3"/>
  <c r="CX32" i="3"/>
  <c r="CX36" i="3"/>
  <c r="CX33" i="3"/>
  <c r="CX37" i="3"/>
  <c r="CX34" i="3"/>
  <c r="CX20" i="3"/>
  <c r="CX24" i="3"/>
  <c r="CX28" i="3"/>
  <c r="CX21" i="3"/>
  <c r="CX25" i="3"/>
  <c r="CX29" i="3"/>
  <c r="CX22" i="3"/>
  <c r="CX26" i="3"/>
  <c r="CX30" i="3"/>
  <c r="T34" i="1"/>
  <c r="AB34" i="1"/>
  <c r="T32" i="1"/>
  <c r="W30" i="1"/>
  <c r="S30" i="1"/>
  <c r="GM29" i="1"/>
  <c r="CX47" i="3"/>
  <c r="CX31" i="3"/>
  <c r="I224" i="5" l="1"/>
  <c r="G224" i="5"/>
  <c r="G166" i="5"/>
  <c r="I166" i="5"/>
  <c r="H24" i="5"/>
  <c r="AE90" i="1"/>
  <c r="R103" i="1"/>
  <c r="CJ26" i="1"/>
  <c r="BA58" i="1"/>
  <c r="R36" i="1"/>
  <c r="GK36" i="1" s="1"/>
  <c r="GM53" i="1"/>
  <c r="GN53" i="1"/>
  <c r="S103" i="1"/>
  <c r="AF90" i="1"/>
  <c r="U164" i="1"/>
  <c r="F191" i="1"/>
  <c r="GK37" i="1"/>
  <c r="CZ37" i="1"/>
  <c r="Y37" i="1" s="1"/>
  <c r="BC26" i="1"/>
  <c r="BC132" i="1"/>
  <c r="F74" i="1"/>
  <c r="AB47" i="1"/>
  <c r="CR47" i="1"/>
  <c r="Q47" i="1" s="1"/>
  <c r="CP47" i="1" s="1"/>
  <c r="O47" i="1" s="1"/>
  <c r="CG26" i="1"/>
  <c r="AX58" i="1"/>
  <c r="CG90" i="1"/>
  <c r="AX103" i="1"/>
  <c r="GM46" i="1"/>
  <c r="GO46" i="1"/>
  <c r="AB39" i="1"/>
  <c r="CR39" i="1"/>
  <c r="Q39" i="1" s="1"/>
  <c r="CP39" i="1" s="1"/>
  <c r="O39" i="1" s="1"/>
  <c r="Q44" i="1"/>
  <c r="AP26" i="1"/>
  <c r="F67" i="1"/>
  <c r="AP132" i="1"/>
  <c r="AT169" i="1"/>
  <c r="CC164" i="1"/>
  <c r="AH90" i="1"/>
  <c r="U103" i="1"/>
  <c r="GM48" i="1"/>
  <c r="GO48" i="1"/>
  <c r="BA103" i="1"/>
  <c r="CJ90" i="1"/>
  <c r="GM43" i="1"/>
  <c r="T42" i="1"/>
  <c r="BA169" i="1"/>
  <c r="CJ164" i="1"/>
  <c r="AE164" i="1"/>
  <c r="R169" i="1"/>
  <c r="CY166" i="1"/>
  <c r="X166" i="1" s="1"/>
  <c r="AK169" i="1" s="1"/>
  <c r="AF169" i="1"/>
  <c r="CZ166" i="1"/>
  <c r="Y166" i="1" s="1"/>
  <c r="AL169" i="1" s="1"/>
  <c r="F190" i="1"/>
  <c r="T164" i="1"/>
  <c r="AB41" i="1"/>
  <c r="CR41" i="1"/>
  <c r="Q41" i="1" s="1"/>
  <c r="CP41" i="1" s="1"/>
  <c r="O41" i="1" s="1"/>
  <c r="T36" i="1"/>
  <c r="BY90" i="1"/>
  <c r="AP103" i="1"/>
  <c r="CI103" i="1"/>
  <c r="CY96" i="1"/>
  <c r="X96" i="1" s="1"/>
  <c r="CZ96" i="1"/>
  <c r="Y96" i="1" s="1"/>
  <c r="CY30" i="1"/>
  <c r="X30" i="1" s="1"/>
  <c r="CZ30" i="1"/>
  <c r="Y30" i="1" s="1"/>
  <c r="CP34" i="1"/>
  <c r="O34" i="1" s="1"/>
  <c r="GN31" i="1"/>
  <c r="Q36" i="1"/>
  <c r="AD58" i="1" s="1"/>
  <c r="GK41" i="1"/>
  <c r="CZ41" i="1"/>
  <c r="Y41" i="1" s="1"/>
  <c r="V36" i="1"/>
  <c r="AI58" i="1" s="1"/>
  <c r="GO35" i="1"/>
  <c r="V44" i="1"/>
  <c r="U36" i="1"/>
  <c r="CY37" i="1"/>
  <c r="X37" i="1" s="1"/>
  <c r="U42" i="1"/>
  <c r="V42" i="1"/>
  <c r="CY49" i="1"/>
  <c r="X49" i="1" s="1"/>
  <c r="CY34" i="1"/>
  <c r="X34" i="1" s="1"/>
  <c r="GK47" i="1"/>
  <c r="CZ47" i="1"/>
  <c r="Y47" i="1" s="1"/>
  <c r="GM51" i="1"/>
  <c r="GN51" i="1"/>
  <c r="CY47" i="1"/>
  <c r="X47" i="1" s="1"/>
  <c r="GP56" i="1"/>
  <c r="CD58" i="1" s="1"/>
  <c r="GM56" i="1"/>
  <c r="CI26" i="1"/>
  <c r="AZ58" i="1"/>
  <c r="AK103" i="1"/>
  <c r="GM93" i="1"/>
  <c r="GO93" i="1"/>
  <c r="CC103" i="1" s="1"/>
  <c r="CG164" i="1"/>
  <c r="AX169" i="1"/>
  <c r="F119" i="1"/>
  <c r="BC90" i="1"/>
  <c r="CZ49" i="1"/>
  <c r="Y49" i="1" s="1"/>
  <c r="BZ90" i="1"/>
  <c r="AQ103" i="1"/>
  <c r="AC103" i="1"/>
  <c r="AB169" i="1"/>
  <c r="F122" i="1"/>
  <c r="AU90" i="1"/>
  <c r="AC169" i="1"/>
  <c r="CP167" i="1"/>
  <c r="O167" i="1" s="1"/>
  <c r="F181" i="1"/>
  <c r="Q164" i="1"/>
  <c r="F193" i="1"/>
  <c r="W164" i="1"/>
  <c r="AB37" i="1"/>
  <c r="CR37" i="1"/>
  <c r="Q37" i="1" s="1"/>
  <c r="CP37" i="1" s="1"/>
  <c r="O37" i="1" s="1"/>
  <c r="GM50" i="1"/>
  <c r="GN50" i="1"/>
  <c r="GK95" i="1"/>
  <c r="CZ95" i="1"/>
  <c r="Y95" i="1" s="1"/>
  <c r="AL103" i="1" s="1"/>
  <c r="S44" i="1"/>
  <c r="W44" i="1"/>
  <c r="CP30" i="1"/>
  <c r="O30" i="1" s="1"/>
  <c r="S36" i="1"/>
  <c r="S42" i="1"/>
  <c r="T44" i="1"/>
  <c r="AG58" i="1" s="1"/>
  <c r="W36" i="1"/>
  <c r="AJ58" i="1" s="1"/>
  <c r="P36" i="1"/>
  <c r="CP36" i="1" s="1"/>
  <c r="O36" i="1" s="1"/>
  <c r="P44" i="1"/>
  <c r="CP44" i="1" s="1"/>
  <c r="O44" i="1" s="1"/>
  <c r="AQ26" i="1"/>
  <c r="F68" i="1"/>
  <c r="AQ132" i="1"/>
  <c r="CZ35" i="1"/>
  <c r="Y35" i="1" s="1"/>
  <c r="GM35" i="1" s="1"/>
  <c r="AB49" i="1"/>
  <c r="CR49" i="1"/>
  <c r="Q49" i="1" s="1"/>
  <c r="CP49" i="1" s="1"/>
  <c r="O49" i="1" s="1"/>
  <c r="W103" i="1"/>
  <c r="AJ90" i="1"/>
  <c r="AB95" i="1"/>
  <c r="CR95" i="1"/>
  <c r="Q95" i="1" s="1"/>
  <c r="F173" i="1"/>
  <c r="AO164" i="1"/>
  <c r="AE58" i="1"/>
  <c r="CY95" i="1"/>
  <c r="X95" i="1" s="1"/>
  <c r="BB26" i="1"/>
  <c r="F71" i="1"/>
  <c r="BB132" i="1"/>
  <c r="CP96" i="1"/>
  <c r="O96" i="1" s="1"/>
  <c r="AO22" i="1"/>
  <c r="AO198" i="1"/>
  <c r="F136" i="1"/>
  <c r="F185" i="1"/>
  <c r="BC164" i="1"/>
  <c r="F126" i="1"/>
  <c r="V90" i="1"/>
  <c r="F124" i="1"/>
  <c r="T90" i="1"/>
  <c r="AL90" i="1" l="1"/>
  <c r="Y103" i="1"/>
  <c r="AJ26" i="1"/>
  <c r="W58" i="1"/>
  <c r="AG26" i="1"/>
  <c r="T58" i="1"/>
  <c r="AD26" i="1"/>
  <c r="Q58" i="1"/>
  <c r="CC90" i="1"/>
  <c r="AT103" i="1"/>
  <c r="GM96" i="1"/>
  <c r="GN96" i="1"/>
  <c r="F127" i="1"/>
  <c r="W90" i="1"/>
  <c r="CZ36" i="1"/>
  <c r="Y36" i="1" s="1"/>
  <c r="CY36" i="1"/>
  <c r="X36" i="1" s="1"/>
  <c r="AC90" i="1"/>
  <c r="P103" i="1"/>
  <c r="CF103" i="1"/>
  <c r="CH103" i="1"/>
  <c r="CE103" i="1"/>
  <c r="AE26" i="1"/>
  <c r="R58" i="1"/>
  <c r="P169" i="1"/>
  <c r="CE169" i="1"/>
  <c r="CH169" i="1"/>
  <c r="CF169" i="1"/>
  <c r="AC164" i="1"/>
  <c r="O169" i="1"/>
  <c r="AB164" i="1"/>
  <c r="AX164" i="1"/>
  <c r="F176" i="1"/>
  <c r="AK90" i="1"/>
  <c r="X103" i="1"/>
  <c r="CD26" i="1"/>
  <c r="AU58" i="1"/>
  <c r="GN34" i="1"/>
  <c r="GM34" i="1"/>
  <c r="AK164" i="1"/>
  <c r="X169" i="1"/>
  <c r="F189" i="1"/>
  <c r="BA164" i="1"/>
  <c r="BA90" i="1"/>
  <c r="F123" i="1"/>
  <c r="AP22" i="1"/>
  <c r="AP198" i="1"/>
  <c r="F141" i="1"/>
  <c r="G16" i="2" s="1"/>
  <c r="G19" i="2" s="1"/>
  <c r="GO39" i="1"/>
  <c r="GM39" i="1"/>
  <c r="F110" i="1"/>
  <c r="AX90" i="1"/>
  <c r="GO47" i="1"/>
  <c r="GM47" i="1"/>
  <c r="GM36" i="1"/>
  <c r="GN36" i="1"/>
  <c r="AO18" i="1"/>
  <c r="F202" i="1"/>
  <c r="CZ42" i="1"/>
  <c r="Y42" i="1" s="1"/>
  <c r="CY42" i="1"/>
  <c r="X42" i="1" s="1"/>
  <c r="CY44" i="1"/>
  <c r="X44" i="1" s="1"/>
  <c r="GO44" i="1" s="1"/>
  <c r="CC58" i="1" s="1"/>
  <c r="CZ44" i="1"/>
  <c r="Y44" i="1" s="1"/>
  <c r="AL58" i="1" s="1"/>
  <c r="GO37" i="1"/>
  <c r="GM37" i="1"/>
  <c r="GP166" i="1"/>
  <c r="AZ26" i="1"/>
  <c r="F69" i="1"/>
  <c r="AF58" i="1"/>
  <c r="R164" i="1"/>
  <c r="F183" i="1"/>
  <c r="R90" i="1"/>
  <c r="F117" i="1"/>
  <c r="AQ22" i="1"/>
  <c r="F142" i="1"/>
  <c r="AQ198" i="1"/>
  <c r="AI26" i="1"/>
  <c r="V58" i="1"/>
  <c r="AZ103" i="1"/>
  <c r="CI90" i="1"/>
  <c r="GN41" i="1"/>
  <c r="GM41" i="1"/>
  <c r="AL164" i="1"/>
  <c r="Y169" i="1"/>
  <c r="AT164" i="1"/>
  <c r="F187" i="1"/>
  <c r="F17" i="2" s="1"/>
  <c r="AX26" i="1"/>
  <c r="F65" i="1"/>
  <c r="AX132" i="1"/>
  <c r="BB22" i="1"/>
  <c r="F145" i="1"/>
  <c r="BB198" i="1"/>
  <c r="AD103" i="1"/>
  <c r="CP95" i="1"/>
  <c r="O95" i="1" s="1"/>
  <c r="GO49" i="1"/>
  <c r="GM49" i="1"/>
  <c r="GM30" i="1"/>
  <c r="GN30" i="1"/>
  <c r="AB58" i="1"/>
  <c r="GP167" i="1"/>
  <c r="GM167" i="1"/>
  <c r="GM166" i="1"/>
  <c r="AQ90" i="1"/>
  <c r="F113" i="1"/>
  <c r="AH58" i="1"/>
  <c r="CP42" i="1"/>
  <c r="O42" i="1" s="1"/>
  <c r="AC58" i="1"/>
  <c r="AK58" i="1"/>
  <c r="AP90" i="1"/>
  <c r="F112" i="1"/>
  <c r="AF164" i="1"/>
  <c r="S169" i="1"/>
  <c r="U90" i="1"/>
  <c r="F125" i="1"/>
  <c r="BC22" i="1"/>
  <c r="BC198" i="1"/>
  <c r="F148" i="1"/>
  <c r="F118" i="1"/>
  <c r="S90" i="1"/>
  <c r="BA26" i="1"/>
  <c r="BA132" i="1"/>
  <c r="F78" i="1"/>
  <c r="CC26" i="1" l="1"/>
  <c r="AT58" i="1"/>
  <c r="AL26" i="1"/>
  <c r="Y58" i="1"/>
  <c r="BA22" i="1"/>
  <c r="BA198" i="1"/>
  <c r="F152" i="1"/>
  <c r="AH26" i="1"/>
  <c r="U58" i="1"/>
  <c r="AD90" i="1"/>
  <c r="Q103" i="1"/>
  <c r="AX22" i="1"/>
  <c r="F139" i="1"/>
  <c r="AX198" i="1"/>
  <c r="V26" i="1"/>
  <c r="F81" i="1"/>
  <c r="V132" i="1"/>
  <c r="GM44" i="1"/>
  <c r="X164" i="1"/>
  <c r="F194" i="1"/>
  <c r="AU26" i="1"/>
  <c r="F77" i="1"/>
  <c r="AU132" i="1"/>
  <c r="F172" i="1"/>
  <c r="P164" i="1"/>
  <c r="CH90" i="1"/>
  <c r="AY103" i="1"/>
  <c r="Q26" i="1"/>
  <c r="F70" i="1"/>
  <c r="W26" i="1"/>
  <c r="F82" i="1"/>
  <c r="W132" i="1"/>
  <c r="BC18" i="1"/>
  <c r="F214" i="1"/>
  <c r="S164" i="1"/>
  <c r="F184" i="1"/>
  <c r="J17" i="2" s="1"/>
  <c r="AK26" i="1"/>
  <c r="X58" i="1"/>
  <c r="BB18" i="1"/>
  <c r="F211" i="1"/>
  <c r="Y164" i="1"/>
  <c r="F195" i="1"/>
  <c r="AF26" i="1"/>
  <c r="S58" i="1"/>
  <c r="CD169" i="1"/>
  <c r="AW169" i="1"/>
  <c r="CF164" i="1"/>
  <c r="R26" i="1"/>
  <c r="F72" i="1"/>
  <c r="R132" i="1"/>
  <c r="AW103" i="1"/>
  <c r="CF90" i="1"/>
  <c r="AC26" i="1"/>
  <c r="CE58" i="1"/>
  <c r="P58" i="1"/>
  <c r="CF58" i="1"/>
  <c r="CH58" i="1"/>
  <c r="AB26" i="1"/>
  <c r="O58" i="1"/>
  <c r="F114" i="1"/>
  <c r="AZ90" i="1"/>
  <c r="AQ18" i="1"/>
  <c r="F208" i="1"/>
  <c r="AZ132" i="1"/>
  <c r="AP18" i="1"/>
  <c r="F207" i="1"/>
  <c r="X90" i="1"/>
  <c r="F128" i="1"/>
  <c r="CH164" i="1"/>
  <c r="AY169" i="1"/>
  <c r="F106" i="1"/>
  <c r="P90" i="1"/>
  <c r="AT90" i="1"/>
  <c r="F121" i="1"/>
  <c r="T26" i="1"/>
  <c r="T132" i="1"/>
  <c r="F79" i="1"/>
  <c r="Y90" i="1"/>
  <c r="F129" i="1"/>
  <c r="GM42" i="1"/>
  <c r="CA58" i="1" s="1"/>
  <c r="GN42" i="1"/>
  <c r="CA169" i="1"/>
  <c r="CB58" i="1"/>
  <c r="GN95" i="1"/>
  <c r="CB103" i="1" s="1"/>
  <c r="GM95" i="1"/>
  <c r="CA103" i="1" s="1"/>
  <c r="AB103" i="1"/>
  <c r="F171" i="1"/>
  <c r="O164" i="1"/>
  <c r="CE164" i="1"/>
  <c r="AV169" i="1"/>
  <c r="AV103" i="1"/>
  <c r="CE90" i="1"/>
  <c r="CA26" i="1" l="1"/>
  <c r="AR58" i="1"/>
  <c r="CA164" i="1"/>
  <c r="AR169" i="1"/>
  <c r="R22" i="1"/>
  <c r="R198" i="1"/>
  <c r="F146" i="1"/>
  <c r="AW164" i="1"/>
  <c r="F175" i="1"/>
  <c r="X26" i="1"/>
  <c r="F83" i="1"/>
  <c r="X132" i="1"/>
  <c r="F111" i="1"/>
  <c r="AY90" i="1"/>
  <c r="AU22" i="1"/>
  <c r="F151" i="1"/>
  <c r="H16" i="2" s="1"/>
  <c r="Q90" i="1"/>
  <c r="F115" i="1"/>
  <c r="Y26" i="1"/>
  <c r="F84" i="1"/>
  <c r="Y132" i="1"/>
  <c r="AR103" i="1"/>
  <c r="CA90" i="1"/>
  <c r="CH26" i="1"/>
  <c r="AY58" i="1"/>
  <c r="CD164" i="1"/>
  <c r="AU169" i="1"/>
  <c r="Q132" i="1"/>
  <c r="AX18" i="1"/>
  <c r="F205" i="1"/>
  <c r="O103" i="1"/>
  <c r="AB90" i="1"/>
  <c r="F177" i="1"/>
  <c r="AY164" i="1"/>
  <c r="CE26" i="1"/>
  <c r="AV58" i="1"/>
  <c r="F108" i="1"/>
  <c r="AV90" i="1"/>
  <c r="S26" i="1"/>
  <c r="F73" i="1"/>
  <c r="S132" i="1"/>
  <c r="V22" i="1"/>
  <c r="F155" i="1"/>
  <c r="V198" i="1"/>
  <c r="BA18" i="1"/>
  <c r="F218" i="1"/>
  <c r="AT26" i="1"/>
  <c r="F76" i="1"/>
  <c r="AT132" i="1"/>
  <c r="AS103" i="1"/>
  <c r="CB90" i="1"/>
  <c r="T22" i="1"/>
  <c r="T198" i="1"/>
  <c r="F153" i="1"/>
  <c r="AZ22" i="1"/>
  <c r="F143" i="1"/>
  <c r="AZ198" i="1"/>
  <c r="CF26" i="1"/>
  <c r="AW58" i="1"/>
  <c r="W22" i="1"/>
  <c r="F156" i="1"/>
  <c r="W198" i="1"/>
  <c r="AV164" i="1"/>
  <c r="F174" i="1"/>
  <c r="CB26" i="1"/>
  <c r="AS58" i="1"/>
  <c r="O26" i="1"/>
  <c r="F60" i="1"/>
  <c r="O132" i="1"/>
  <c r="P26" i="1"/>
  <c r="F61" i="1"/>
  <c r="P132" i="1"/>
  <c r="AW90" i="1"/>
  <c r="F109" i="1"/>
  <c r="U26" i="1"/>
  <c r="F80" i="1"/>
  <c r="U132" i="1"/>
  <c r="O22" i="1" l="1"/>
  <c r="F134" i="1"/>
  <c r="O198" i="1"/>
  <c r="AW26" i="1"/>
  <c r="F64" i="1"/>
  <c r="AW132" i="1"/>
  <c r="O90" i="1"/>
  <c r="F105" i="1"/>
  <c r="F188" i="1"/>
  <c r="H17" i="2" s="1"/>
  <c r="I17" i="2" s="1"/>
  <c r="AU164" i="1"/>
  <c r="H19" i="2"/>
  <c r="X22" i="1"/>
  <c r="X198" i="1"/>
  <c r="F157" i="1"/>
  <c r="AR164" i="1"/>
  <c r="F196" i="1"/>
  <c r="AS26" i="1"/>
  <c r="F75" i="1"/>
  <c r="AS132" i="1"/>
  <c r="W18" i="1"/>
  <c r="F222" i="1"/>
  <c r="AS90" i="1"/>
  <c r="F120" i="1"/>
  <c r="F130" i="1"/>
  <c r="AR90" i="1"/>
  <c r="U22" i="1"/>
  <c r="F154" i="1"/>
  <c r="U198" i="1"/>
  <c r="AZ18" i="1"/>
  <c r="F209" i="1"/>
  <c r="T18" i="1"/>
  <c r="F219" i="1"/>
  <c r="AT22" i="1"/>
  <c r="F150" i="1"/>
  <c r="F16" i="2" s="1"/>
  <c r="F19" i="2" s="1"/>
  <c r="AT198" i="1"/>
  <c r="S22" i="1"/>
  <c r="F147" i="1"/>
  <c r="J16" i="2" s="1"/>
  <c r="J19" i="2" s="1"/>
  <c r="S198" i="1"/>
  <c r="AY26" i="1"/>
  <c r="F66" i="1"/>
  <c r="AY132" i="1"/>
  <c r="Y22" i="1"/>
  <c r="Y198" i="1"/>
  <c r="F158" i="1"/>
  <c r="R18" i="1"/>
  <c r="F212" i="1"/>
  <c r="AR26" i="1"/>
  <c r="F85" i="1"/>
  <c r="F86" i="1" s="1"/>
  <c r="AR132" i="1"/>
  <c r="P22" i="1"/>
  <c r="F135" i="1"/>
  <c r="P198" i="1"/>
  <c r="V18" i="1"/>
  <c r="F221" i="1"/>
  <c r="AV26" i="1"/>
  <c r="F63" i="1"/>
  <c r="AV132" i="1"/>
  <c r="Q22" i="1"/>
  <c r="F144" i="1"/>
  <c r="Q198" i="1"/>
  <c r="AU198" i="1"/>
  <c r="P18" i="1" l="1"/>
  <c r="F201" i="1"/>
  <c r="U18" i="1"/>
  <c r="F220" i="1"/>
  <c r="S18" i="1"/>
  <c r="F213" i="1"/>
  <c r="Q18" i="1"/>
  <c r="F210" i="1"/>
  <c r="Y18" i="1"/>
  <c r="F224" i="1"/>
  <c r="AT18" i="1"/>
  <c r="F216" i="1"/>
  <c r="AS22" i="1"/>
  <c r="AS198" i="1"/>
  <c r="F149" i="1"/>
  <c r="E16" i="2" s="1"/>
  <c r="O18" i="1"/>
  <c r="F200" i="1"/>
  <c r="AW22" i="1"/>
  <c r="AW198" i="1"/>
  <c r="F138" i="1"/>
  <c r="AU18" i="1"/>
  <c r="F217" i="1"/>
  <c r="AV22" i="1"/>
  <c r="F137" i="1"/>
  <c r="AV198" i="1"/>
  <c r="AR22" i="1"/>
  <c r="F159" i="1"/>
  <c r="F160" i="1" s="1"/>
  <c r="AR198" i="1"/>
  <c r="AY22" i="1"/>
  <c r="F140" i="1"/>
  <c r="AY198" i="1"/>
  <c r="X18" i="1"/>
  <c r="F223" i="1"/>
  <c r="AR18" i="1" l="1"/>
  <c r="F225" i="1"/>
  <c r="AW18" i="1"/>
  <c r="F204" i="1"/>
  <c r="I16" i="2"/>
  <c r="I19" i="2" s="1"/>
  <c r="E19" i="2"/>
  <c r="AY18" i="1"/>
  <c r="F206" i="1"/>
  <c r="AS18" i="1"/>
  <c r="F215" i="1"/>
  <c r="AV18" i="1"/>
  <c r="F203" i="1"/>
</calcChain>
</file>

<file path=xl/sharedStrings.xml><?xml version="1.0" encoding="utf-8"?>
<sst xmlns="http://schemas.openxmlformats.org/spreadsheetml/2006/main" count="3959" uniqueCount="564">
  <si>
    <t>Smeta.RU  (495) 974-1589</t>
  </si>
  <si>
    <t>_PS_</t>
  </si>
  <si>
    <t>Smeta.RU</t>
  </si>
  <si>
    <t/>
  </si>
  <si>
    <t>Новая стройка 1</t>
  </si>
  <si>
    <t>Территория инновационного центра "Сколково"</t>
  </si>
  <si>
    <t>Перефиксация КЛ-0,4 кВ из ИВРУ в СП-4</t>
  </si>
  <si>
    <t>Т.О. Ащепкова</t>
  </si>
  <si>
    <t>Инженер-сметчик Дирекции по эксплуатации и содержанию объектов</t>
  </si>
  <si>
    <t>Л.И. Волмаер</t>
  </si>
  <si>
    <t>Руководитель Управления по ценообразованию и сметной работе</t>
  </si>
  <si>
    <t>Сметные нормы списания</t>
  </si>
  <si>
    <t>Коды ценников</t>
  </si>
  <si>
    <t>ФЕР-2017</t>
  </si>
  <si>
    <t>ТР для Версии 10: Центральные регионы (с учетом п-ма 2536-ИП/12/ГС от 22.03.2017 г</t>
  </si>
  <si>
    <t>Поправки  для ГСН 2017 от 31.03.2017 г</t>
  </si>
  <si>
    <t>9</t>
  </si>
  <si>
    <t>Ведомость объемов работ по перефиксации КЛ-0,4 кВ из ИВРУ в СП-4 (Приложение №5 к Техническому заданию)</t>
  </si>
  <si>
    <t>Новый раздел</t>
  </si>
  <si>
    <t>Строительно-монтажные работы</t>
  </si>
  <si>
    <t>1</t>
  </si>
  <si>
    <t>т01-01-01-004</t>
  </si>
  <si>
    <t>Погрузочные работы при автомобильных перевозках изделий из сборного железобетона, бетона, керамзитобетона массой от 3 до 6 т (железобетонные плиты ПАГ-18)</t>
  </si>
  <si>
    <t>1 Т ГРУЗА</t>
  </si>
  <si>
    <t>ФССЦпг-2001, т01-01-01-004, приказ Минстроя России №1039/пр от 30.12.2016г.</t>
  </si>
  <si>
    <t>Погрузочно-разгрузочные работы</t>
  </si>
  <si>
    <t>Перевозка грузов , (ФССЦпр 2011-изм. № 4-6, раздел 1):  погрузочно-разгрузочные работы  (НР и СП в прям. затратах )</t>
  </si>
  <si>
    <t>ФССЦпр  пог. а/п (2011,изм. 4-6)</t>
  </si>
  <si>
    <t>2</t>
  </si>
  <si>
    <t>т03-21-01-002</t>
  </si>
  <si>
    <t>Перевозка грузов I класса автомобилями-самосвалами грузоподъемностью 10 т работающих вне карьера на расстояние до 2 км (со склада ОДПС на площадку)</t>
  </si>
  <si>
    <t>ФССЦпг-2001, т03-21-01-002, приказ Минстроя России №1039/пр от 30.12.2016г.</t>
  </si>
  <si>
    <t>Перевозка грузов авто/транспортом</t>
  </si>
  <si>
    <t>Перевозкуа грузов (ФССЦпр-2011 - изм. 7, разделы 1-4) - по сметной стоимости</t>
  </si>
  <si>
    <t>ФССЦпр , изм. 7</t>
  </si>
  <si>
    <t>3</t>
  </si>
  <si>
    <t>27-12-010-02</t>
  </si>
  <si>
    <t>Устройство дорог из сборных железобетонных плит площадью более 3 м2 (плиты - материал Заказчика)</t>
  </si>
  <si>
    <t>100 м3</t>
  </si>
  <si>
    <t>ФЕР-2001, 27-12-010-02, приказ Минстроя России №1039/пр от 30.12.2016г.</t>
  </si>
  <si>
    <t>)*1,2</t>
  </si>
  <si>
    <t>Общестроительные работы</t>
  </si>
  <si>
    <t>Автомобильные дороги</t>
  </si>
  <si>
    <t>ФЕР-27</t>
  </si>
  <si>
    <t>Поправка: Прил.2, Табл.1, п. 4</t>
  </si>
  <si>
    <t>*0,85</t>
  </si>
  <si>
    <t>*0,8</t>
  </si>
  <si>
    <t>4</t>
  </si>
  <si>
    <t>05.1.08.06-0071 (материал Заказчика)</t>
  </si>
  <si>
    <t>Плиты железобетонные для покрытий автомобильных дорог</t>
  </si>
  <si>
    <t>м3</t>
  </si>
  <si>
    <t>ФССЦ-2001, 05.1.08.06-0071, приказ Минстроя России №1039/пр от 30.12.2016г.</t>
  </si>
  <si>
    <t>05.1.08.06-0071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</si>
  <si>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</si>
  <si>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</si>
  <si>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</si>
  <si>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5</t>
  </si>
  <si>
    <t>27-12-010-04</t>
  </si>
  <si>
    <t>Разборка дорог из сборных железобетонных плит площадью более 3 м2</t>
  </si>
  <si>
    <t>ФЕР-2001, 27-12-010-04, приказ Минстроя России №1039/пр от 30.12.2016г.</t>
  </si>
  <si>
    <t>6</t>
  </si>
  <si>
    <t>т03-21-01-001</t>
  </si>
  <si>
    <t>Перевозка грузов I класса автомобилями-самосвалами грузоподъемностью 10 т работающих вне карьера на расстояние до 1 км (железобетонные плиты ПАГ-18)</t>
  </si>
  <si>
    <t>ФССЦпг-2001, т03-21-01-001, приказ Минстроя России №1039/пр от 30.12.2016г.</t>
  </si>
  <si>
    <t>7</t>
  </si>
  <si>
    <t>01-02-057-02</t>
  </si>
  <si>
    <t>Разработка грунта вручную в траншеях глубиной до 2 м без креплений с откосами, группа грунтов 2</t>
  </si>
  <si>
    <t>ФЕР-2001, 01-02-057-02, приказ Минстроя России №1039/пр от 30.12.2016г.</t>
  </si>
  <si>
    <t>Земляные работы, выполняемые  ручным способом</t>
  </si>
  <si>
    <t>ФЕР-01</t>
  </si>
  <si>
    <t>8</t>
  </si>
  <si>
    <t>м08-02-142-01</t>
  </si>
  <si>
    <t>Устройство постели при одном кабеле в траншее</t>
  </si>
  <si>
    <t>100 м</t>
  </si>
  <si>
    <t>ФЕРм-2001, м08-02-142-01, приказ Минстроя России №1039/пр от 30.12.2016г.</t>
  </si>
  <si>
    <t>Монтажные работы</t>
  </si>
  <si>
    <t>Электромонтажные работы ,  отдел 01-03 : ( на АЭС  НР = 110% ) - (работы по упр. авиа.- движением:  СП=55% (  {АВИА}=1; обычные работы : СП=65 - {AВИА}=0), при работе на АЭС СП= 68% )</t>
  </si>
  <si>
    <t>мФЕР-08</t>
  </si>
  <si>
    <t>8,1</t>
  </si>
  <si>
    <t>02.3.01.02-0015</t>
  </si>
  <si>
    <t>Песок природный для строительных работ средний</t>
  </si>
  <si>
    <t>ФССЦ-2001, 02.3.01.02-0015, приказ Минстроя России №1039/пр от 30.12.2016г.</t>
  </si>
  <si>
    <t>м08-02-141-04</t>
  </si>
  <si>
    <t>Кабель до 35 кВ в готовых траншеях без покрытий, масса 1 м до 6 кг</t>
  </si>
  <si>
    <t>ФЕРм-2001, м08-02-141-04, приказ Минстроя России №1039/пр от 30.12.2016г.</t>
  </si>
  <si>
    <t>9,1</t>
  </si>
  <si>
    <t>п.6 Мониторинга цен №3-ВСЭ</t>
  </si>
  <si>
    <t>Кабель ВБбШв 4х70</t>
  </si>
  <si>
    <t>м</t>
  </si>
  <si>
    <t>[1 292,37 /  7,3] +  3% Трансп +  2% Заг.скл</t>
  </si>
  <si>
    <t>10</t>
  </si>
  <si>
    <t>м08-02-143-03</t>
  </si>
  <si>
    <t>Покрытие кабеля, проложенного в траншее плитами одного кабеля</t>
  </si>
  <si>
    <t>ФЕРм-2001, м08-02-143-03, приказ Минстроя России №1039/пр от 30.12.2016г.</t>
  </si>
  <si>
    <t>10,1</t>
  </si>
  <si>
    <t>п.10 Мониторинга цен №3-ВСЭ</t>
  </si>
  <si>
    <t>Плита ПЗК 360х480х16 (ПЗК-360)</t>
  </si>
  <si>
    <t>шт.</t>
  </si>
  <si>
    <t>[69,41 /  7,3] +  3% Трансп +  2% Заг.скл</t>
  </si>
  <si>
    <t>11</t>
  </si>
  <si>
    <t>01-02-061-02</t>
  </si>
  <si>
    <t>Засыпка вручную траншей, пазух котлованов и ям, группа грунтов 2</t>
  </si>
  <si>
    <t>ФЕР-2001, 01-02-061-02, приказ Минстроя России №1039/пр от 30.12.2016г.</t>
  </si>
  <si>
    <t>11,1</t>
  </si>
  <si>
    <t>12</t>
  </si>
  <si>
    <t>м08-02-147-13</t>
  </si>
  <si>
    <t>Кабель до 35 кВ по установленным конструкциям и лоткам с креплением по всей длине, масса 1 м кабеля до 6 кг</t>
  </si>
  <si>
    <t>ФЕРм-2001, м08-02-147-13, приказ Минстроя России №1039/пр от 30.12.2016г.</t>
  </si>
  <si>
    <t>12,1</t>
  </si>
  <si>
    <t>13</t>
  </si>
  <si>
    <t>м08-02-159-02</t>
  </si>
  <si>
    <t>Заделка концевая в резиновой перчатке для 3-5-жильного кабеля напряжением до 1 кВ, сечение одной жилы до 70 мм2</t>
  </si>
  <si>
    <t>ШТ</t>
  </si>
  <si>
    <t>ФЕРм-2001, м08-02-159-02, приказ Минстроя России №1039/пр от 30.12.2016г.</t>
  </si>
  <si>
    <t>13,1</t>
  </si>
  <si>
    <t>п.3 Мониторинга цен №3-ВСЭ</t>
  </si>
  <si>
    <t>Муфта концевая 4ПКТп(б)-1 70/120 (Б) нг-LS</t>
  </si>
  <si>
    <t>[2 149,15 /  7,3] +  3% Трансп +  2% Заг.скл</t>
  </si>
  <si>
    <t>14</t>
  </si>
  <si>
    <t>м08-02-167-02</t>
  </si>
  <si>
    <t>Муфта соединительная эпоксидная для 3-5-жильного кабеля напряжением до 1 кВ, сечение одной жилы до 70 мм2</t>
  </si>
  <si>
    <t>ФЕРм-2001, м08-02-167-02, приказ Минстроя России №1039/пр от 30.12.2016г.</t>
  </si>
  <si>
    <t>14,1</t>
  </si>
  <si>
    <t>п.9 Мониторинга цен №3-ВСЭ</t>
  </si>
  <si>
    <t>Муфта соединительная 4ПСТп(б)-1 70/120 (Б)</t>
  </si>
  <si>
    <t>[1 634,75 /  7,3] +  3% Трансп +  2% Заг.скл</t>
  </si>
  <si>
    <t>15</t>
  </si>
  <si>
    <t>м08-02-144-05</t>
  </si>
  <si>
    <t>Присоединение к зажимам жил проводов или кабелей сечением до 70 мм2</t>
  </si>
  <si>
    <t>100 ШТ</t>
  </si>
  <si>
    <t>ФЕРм-2001, м08-02-144-05, приказ Минстроя России №1039/пр от 30.12.2016г.</t>
  </si>
  <si>
    <t>16</t>
  </si>
  <si>
    <t>17</t>
  </si>
  <si>
    <t>47-01-046-04</t>
  </si>
  <si>
    <t>Подготовка почвы для устройства партерного и обыкновенного газона с внесением растительной земли слоем 15 см вручную</t>
  </si>
  <si>
    <t>100 м2</t>
  </si>
  <si>
    <t>ФЕР-2001, 47-01-046-04, приказ Минстроя России №1039/пр от 30.12.2016г.</t>
  </si>
  <si>
    <t>Озеленение. Защитные лесонасаждения</t>
  </si>
  <si>
    <t>ФЕР-47</t>
  </si>
  <si>
    <t>18</t>
  </si>
  <si>
    <t>47-01-046-06</t>
  </si>
  <si>
    <t>Посев газонов партерных, мавританских и обыкновенных вручную</t>
  </si>
  <si>
    <t>ФЕР-2001, 47-01-046-06, приказ Минстроя России №1039/пр от 30.12.2016г.</t>
  </si>
  <si>
    <t>18,1</t>
  </si>
  <si>
    <t>16.2.02.07-0161</t>
  </si>
  <si>
    <t>Семена газонных трав (смесь)</t>
  </si>
  <si>
    <t>кг</t>
  </si>
  <si>
    <t>ФССЦ-2001, 16.2.02.07-0161, приказ Минстроя России №1039/пр от 30.12.2016г.</t>
  </si>
  <si>
    <t>19</t>
  </si>
  <si>
    <t>т01-01-01-039</t>
  </si>
  <si>
    <t>Погрузочные работы при автомобильных перевозках грунта растительного слоя (земля, перегной)</t>
  </si>
  <si>
    <t>ФССЦпг-2001, т01-01-01-039, приказ Минстроя России №1039/пр от 30.12.2016г.</t>
  </si>
  <si>
    <t>20</t>
  </si>
  <si>
    <t>т03-21-01-057</t>
  </si>
  <si>
    <t>Перевозка грузов I класса автомобилями-самосвалами грузоподъемностью 10 т работающих вне карьера на расстояние до 57 км</t>
  </si>
  <si>
    <t>ФССЦпг-2001, т03-21-01-057, приказ Минстроя России №1039/пр от 30.12.2016г.</t>
  </si>
  <si>
    <t>21</t>
  </si>
  <si>
    <t>Приказ ОДПС Сколково № 189 от 26.09.13г.</t>
  </si>
  <si>
    <t>Размещение грунта в соответствии с приказом № 189 от 26.09.2013г. (Письмо Минрегиона России от 29.07.2013 N 13478-СД/10 Приложение №4, п.30, к=8,84; Письмо Минстроя России от 04.04.2018 N 13606-ХМ/09 на I квартал 2018г. Приложение №4, п.30, к=9,97)</t>
  </si>
  <si>
    <t>Строка по умолчанию</t>
  </si>
  <si>
    <t>Прочие работы</t>
  </si>
  <si>
    <t>по умолчанию</t>
  </si>
  <si>
    <t>[126 / 1,18 /  8,84]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</si>
  <si>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</si>
  <si>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</si>
  <si>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</si>
  <si>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</si>
  <si>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</si>
  <si>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</si>
  <si>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</si>
  <si>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</si>
  <si>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</si>
  <si>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</si>
  <si>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</si>
  <si>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</si>
  <si>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</si>
  <si>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</si>
  <si>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</si>
  <si>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</si>
  <si>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</si>
  <si>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</si>
  <si>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</si>
  <si>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</si>
  <si>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</si>
  <si>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</si>
  <si>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</si>
  <si>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</si>
  <si>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</si>
  <si>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</si>
  <si>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</si>
  <si>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</si>
  <si>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</si>
  <si>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</si>
  <si>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</si>
  <si>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</si>
  <si>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</si>
  <si>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</si>
  <si>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</si>
  <si>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</si>
  <si>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</si>
  <si>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</si>
  <si>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</si>
  <si>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</si>
  <si>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</si>
  <si>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</si>
  <si>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</si>
  <si>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</si>
  <si>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</si>
  <si>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</si>
  <si>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</si>
  <si>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</si>
  <si>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</si>
  <si>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</si>
  <si>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</si>
  <si>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</si>
  <si>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Итог1</t>
  </si>
  <si>
    <t>Итого по разделу без учета материалов Заказчика</t>
  </si>
  <si>
    <t>Демонтаж ИВРУ в районе СП-4</t>
  </si>
  <si>
    <t>22</t>
  </si>
  <si>
    <t>м08-03-572-07</t>
  </si>
  <si>
    <t>Демонтаж блока управления шкафного исполнения или распределительный пункт (шкаф), устанавливаемый на полу, высота и ширина до 1700х1100 мм</t>
  </si>
  <si>
    <t>ФЕРм-2001, м08-03-572-07, приказ Минстроя России №1039/пр от 30.12.2016г.</t>
  </si>
  <si>
    <t>)*0</t>
  </si>
  <si>
    <t>)*0,7)*1,2</t>
  </si>
  <si>
    <t>Поправка: Табл.3, п.1  Поправка: Прил.2, Табл.1, п. 4</t>
  </si>
  <si>
    <t>23</t>
  </si>
  <si>
    <t>Присоединение к зажимам жил проводов или кабелей сечением до 70 мм2 (отключение жил проводов)</t>
  </si>
  <si>
    <t>24</t>
  </si>
  <si>
    <t>09-08-001-01</t>
  </si>
  <si>
    <t>Демонтаж металлических столбов высотой до 4 м с погружением в бетонное основание</t>
  </si>
  <si>
    <t>ФЕР-2001, 09-08-001-01, приказ Минстроя России №1039/пр от 30.12.2016г.</t>
  </si>
  <si>
    <t>Металлические конструкции</t>
  </si>
  <si>
    <t>ФЕР-09</t>
  </si>
  <si>
    <t>Поправка: Табл.2, п.4  Поправка: Прил.2, Табл.1, п. 4</t>
  </si>
  <si>
    <t>25</t>
  </si>
  <si>
    <t>09-08-002-05</t>
  </si>
  <si>
    <t>Демонтаж заграждений из готовых металлических решетчатых панелей высотой до 2 м</t>
  </si>
  <si>
    <t>10 ШТ</t>
  </si>
  <si>
    <t>ФЕР-2001, 09-08-002-05, приказ Минстроя России №1039/пр от 30.12.2016г.</t>
  </si>
  <si>
    <t>26</t>
  </si>
  <si>
    <t>09-08-002-07</t>
  </si>
  <si>
    <t>Демонтаж калиток из готовых металлических решетчатых панелей</t>
  </si>
  <si>
    <t>ФЕР-2001, 09-08-002-07, приказ Минстроя России №1039/пр от 30.12.2016г.</t>
  </si>
  <si>
    <t>27</t>
  </si>
  <si>
    <t>т01-01-01-014</t>
  </si>
  <si>
    <t>Погрузочные работы при автомобильных перевозках изделий металлических (армокаркасы, заготовки трубные и др.)</t>
  </si>
  <si>
    <t>ФССЦпг-2001, т01-01-01-014, приказ Минстроя России №1039/пр от 30.12.2016г.</t>
  </si>
  <si>
    <t>28</t>
  </si>
  <si>
    <t>т01-01-01-015</t>
  </si>
  <si>
    <t>Погрузочные работы при автомобильных перевозках металлических конструкций массой до 1 т (распределительный шкаф)</t>
  </si>
  <si>
    <t>ФССЦпг-2001, т01-01-01-015, приказ Минстроя России №1039/пр от 30.12.2016г.</t>
  </si>
  <si>
    <t>29</t>
  </si>
  <si>
    <t>т03-01-01-002</t>
  </si>
  <si>
    <t>Перевозка грузов I класса автомобилями бортовыми грузоподъемностью до 15 т на расстояние до 2 км</t>
  </si>
  <si>
    <t>ФССЦпг-2001, т03-01-01-002, приказ Минстроя России №1039/пр от 30.12.2016г.</t>
  </si>
  <si>
    <t>30</t>
  </si>
  <si>
    <t>т01-01-02-014</t>
  </si>
  <si>
    <t>Разгрузочные работы при автомобильных перевозках изделий металлических (армокаркасы, заготовки трубные и др.)</t>
  </si>
  <si>
    <t>ФССЦпг-2001, т01-01-02-014, приказ Минстроя России №1039/пр от 30.12.2016г.</t>
  </si>
  <si>
    <t>31</t>
  </si>
  <si>
    <t>т01-01-02-016</t>
  </si>
  <si>
    <t>Разгрузочные работы при автомобильных перевозках металлических конструкций массой от 1 до 3 т (распределительный шкаф)</t>
  </si>
  <si>
    <t>ФССЦпг-2001, т01-01-02-016, приказ Минстроя России №1039/пр от 30.12.2016г.</t>
  </si>
  <si>
    <t>Итого по локальной смете без учета материалов Заказчика</t>
  </si>
  <si>
    <t>Пусконаладочные работы КЛ-0,4 кВ из ИВРУ в СП-4</t>
  </si>
  <si>
    <t>п01-11-024-01</t>
  </si>
  <si>
    <t>Фазировка электрической линии или трансформатора с сетью напряжением до 1 кВ</t>
  </si>
  <si>
    <t>ФЕРп-2001, п01-11-024-01, приказ Минстроя России №1039/пр от 30.12.2016г.</t>
  </si>
  <si>
    <t>Пусконаладочные работы</t>
  </si>
  <si>
    <t>Пусконаладочные работы : все сборники, отдел 05 ( диагностика лифтов ) и отдел 06 ( техническое освидетельствование ) сборника мрФЕР-01</t>
  </si>
  <si>
    <t>пФЕРп</t>
  </si>
  <si>
    <t>Поправка: Прил.2, Табл.4, п. 3</t>
  </si>
  <si>
    <t>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</si>
  <si>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</si>
  <si>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ФЕРп-2001, п01-11-028-01, приказ Минстроя России №1039/пр от 30.12.2016г.</t>
  </si>
  <si>
    <t>)*1,2)*1,3</t>
  </si>
  <si>
    <t>Поправка: Прил.2, Табл.4, п. 3  Поправка: Сб.№пнр 1, п.1.1.84.2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</si>
  <si>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</si>
  <si>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</si>
  <si>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</si>
  <si>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</si>
  <si>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</si>
  <si>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</si>
  <si>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</si>
  <si>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</si>
  <si>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</si>
  <si>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</si>
  <si>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</si>
  <si>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</si>
  <si>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</si>
  <si>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</si>
  <si>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</si>
  <si>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М/Т/Я</t>
  </si>
  <si>
    <t>Работы по строительству мостов, тоннелей, метрополитенов, атомных станций, объектов с ядерным топливом и радиокативными отходами ( письмо Госстроя РФ № 2536-ИП/12/ГС от 27.11.12), коэффициенты к НР =0,85 и к СП-0,8 не назначаются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</si>
  <si>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</si>
  <si>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</si>
  <si>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</si>
  <si>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</si>
  <si>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</si>
  <si>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</si>
  <si>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</si>
  <si>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</si>
  <si>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</si>
  <si>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</si>
  <si>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</si>
  <si>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</si>
  <si>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</si>
  <si>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</si>
  <si>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</si>
  <si>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</si>
  <si>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</si>
  <si>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</si>
  <si>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</si>
  <si>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</si>
  <si>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</si>
  <si>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</si>
  <si>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</si>
  <si>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</si>
  <si>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</si>
  <si>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</si>
  <si>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</si>
  <si>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</si>
  <si>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</si>
  <si>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  если (М/Т/Я) = {выкл.}</t>
  </si>
  <si>
    <t>К_СП_12</t>
  </si>
  <si>
    <t>Корректировка СП с 03.12.12  в текущем уровне цен по письму  2536-ИП/12/ГС от 27.11.12  ( если (М/Т/Я)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</si>
  <si>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</si>
  <si>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</si>
  <si>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</si>
  <si>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</si>
  <si>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</si>
  <si>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</si>
  <si>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</si>
  <si>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 и  кап. ремонте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</si>
  <si>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</si>
  <si>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</si>
  <si>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</si>
  <si>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</si>
  <si>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Текущий уровень цен</t>
  </si>
  <si>
    <t>Сборник индексов</t>
  </si>
  <si>
    <t>Мособлгосэкспертиза к ФЕР 2017</t>
  </si>
  <si>
    <t>_OBSM_</t>
  </si>
  <si>
    <t>1-100-28</t>
  </si>
  <si>
    <t>Рабочий среднего разряда 2.8</t>
  </si>
  <si>
    <t>чел.-ч.</t>
  </si>
  <si>
    <t>4-100-00</t>
  </si>
  <si>
    <t>Затраты труда машинистов</t>
  </si>
  <si>
    <t>91.01.02-004</t>
  </si>
  <si>
    <t>ФСЭМ-2001, 91.01.02-004, приказ Минстроя России №1039/пр от 30.12.2016г.</t>
  </si>
  <si>
    <t>Автогрейдеры среднего типа, мощность 99 кВт (135 л.с.)</t>
  </si>
  <si>
    <t>маш.-ч</t>
  </si>
  <si>
    <t>91.05.05-014</t>
  </si>
  <si>
    <t>ФСЭМ-2001, 91.05.05-014, приказ Минстроя России №1039/пр от 30.12.2016г.</t>
  </si>
  <si>
    <t>Краны на автомобильном ходу, грузоподъемность 10 т</t>
  </si>
  <si>
    <t>91.06.05-011</t>
  </si>
  <si>
    <t>ФСЭМ-2001, 91.06.05-011, приказ Минстроя России №1039/пр от 30.12.2016г.</t>
  </si>
  <si>
    <t>Погрузчик, грузоподъемность 5 т</t>
  </si>
  <si>
    <t>1-100-26</t>
  </si>
  <si>
    <t>Рабочий среднего разряда 2.6</t>
  </si>
  <si>
    <t>91.13.01-038</t>
  </si>
  <si>
    <t>ФСЭМ-2001, 91.13.01-038, приказ Минстроя России №1039/пр от 30.12.2016г.</t>
  </si>
  <si>
    <t>Машины поливомоечные 6000 л</t>
  </si>
  <si>
    <t>91.14.02-001</t>
  </si>
  <si>
    <t>ФСЭМ-2001, 91.14.02-001, приказ Минстроя России №1039/пр от 30.12.2016г.</t>
  </si>
  <si>
    <t>Автомобили бортовые, грузоподъемность до 5 т</t>
  </si>
  <si>
    <t>1-100-20</t>
  </si>
  <si>
    <t>Рабочий среднего разряда 2</t>
  </si>
  <si>
    <t>1-100-40</t>
  </si>
  <si>
    <t>Рабочий среднего разряда 4</t>
  </si>
  <si>
    <t>999-9950</t>
  </si>
  <si>
    <t>Вспомогательные ненормируемые материалы (2% от ОЗП)</t>
  </si>
  <si>
    <t>РУБ</t>
  </si>
  <si>
    <t>91.06.01-003</t>
  </si>
  <si>
    <t>ФСЭМ-2001, 91.06.01-003, приказ Минстроя России №1039/пр от 30.12.2016г.</t>
  </si>
  <si>
    <t>Домкраты гидравлические, грузоподъемность 63-100 т</t>
  </si>
  <si>
    <t>91.06.03-062</t>
  </si>
  <si>
    <t>ФСЭМ-2001, 91.06.03-062, приказ Минстроя России №1039/пр от 30.12.2016г.</t>
  </si>
  <si>
    <t>Лебедки электрические тяговым усилием до 31,39 кН (3,2 т)</t>
  </si>
  <si>
    <t>01.7.06.07-0001</t>
  </si>
  <si>
    <t>ФССЦ-2001, 01.7.06.07-0001, приказ Минстроя России №1039/пр от 30.12.2016г.</t>
  </si>
  <si>
    <t>Лента К226</t>
  </si>
  <si>
    <t>08.3.07.01-0076</t>
  </si>
  <si>
    <t>ФССЦ-2001, 08.3.07.01-0076, приказ Минстроя России №1039/пр от 30.12.2016г.</t>
  </si>
  <si>
    <t>Сталь полосовая, марка стали Ст3сп шириной 50-200 мм толщиной 4-5 мм</t>
  </si>
  <si>
    <t>т</t>
  </si>
  <si>
    <t>08.3.08.02-0052</t>
  </si>
  <si>
    <t>ФССЦ-2001, 08.3.08.02-0052, приказ Минстроя России №1039/пр от 30.12.2016г.</t>
  </si>
  <si>
    <t>Сталь угловая равнополочная, марка стали ВСт3кп2, размером 50x50x5 мм</t>
  </si>
  <si>
    <t>14.4.02.09-0001</t>
  </si>
  <si>
    <t>ФССЦ-2001, 14.4.02.09-0001, приказ Минстроя России №1039/пр от 30.12.2016г.</t>
  </si>
  <si>
    <t>Краска</t>
  </si>
  <si>
    <t>14.4.03.03-0002</t>
  </si>
  <si>
    <t>ФССЦ-2001, 14.4.03.03-0002, приказ Минстроя России №1039/пр от 30.12.2016г.</t>
  </si>
  <si>
    <t>Лак битумный БТ-123</t>
  </si>
  <si>
    <t>1-100-15</t>
  </si>
  <si>
    <t>Рабочий среднего разряда 1.5</t>
  </si>
  <si>
    <t>01.7.15.14-0165</t>
  </si>
  <si>
    <t>ФССЦ-2001, 01.7.15.14-0165, приказ Минстроя России №1039/пр от 30.12.2016г.</t>
  </si>
  <si>
    <t>Шурупы с полукруглой головкой 4x40 мм</t>
  </si>
  <si>
    <t>10.3.02.03-0011</t>
  </si>
  <si>
    <t>ФССЦ-2001, 10.3.02.03-0011, приказ Минстроя России №1039/пр от 30.12.2016г.</t>
  </si>
  <si>
    <t>Припои оловянно-свинцовые бессурьмянистые марки ПОС30</t>
  </si>
  <si>
    <t>01.3.01.01-0001</t>
  </si>
  <si>
    <t>ФССЦ-2001, 01.3.01.01-0001, приказ Минстроя России №1039/пр от 30.12.2016г.</t>
  </si>
  <si>
    <t>Бензин авиационный Б-70</t>
  </si>
  <si>
    <t>01.3.01.05-0009</t>
  </si>
  <si>
    <t>ФССЦ-2001, 01.3.01.05-0009, приказ Минстроя России №1039/пр от 30.12.2016г.</t>
  </si>
  <si>
    <t>Парафины нефтяные твердые марки Т-1</t>
  </si>
  <si>
    <t>01.3.02.09-0022</t>
  </si>
  <si>
    <t>ФССЦ-2001, 01.3.02.09-0022, приказ Минстроя России №1039/пр от 30.12.2016г.</t>
  </si>
  <si>
    <t>Пропан-бутан, смесь техническая</t>
  </si>
  <si>
    <t>20.2.01.05-0009</t>
  </si>
  <si>
    <t>ФССЦ-2001, 20.2.01.05-0009, приказ Минстроя России №1039/пр от 30.12.2016г.</t>
  </si>
  <si>
    <t>Гильза кабельная медная ГМ 70</t>
  </si>
  <si>
    <t>100 шт.</t>
  </si>
  <si>
    <t>1-100-22</t>
  </si>
  <si>
    <t>Рабочий среднего разряда 2.2</t>
  </si>
  <si>
    <t>16.2.01.02-0002</t>
  </si>
  <si>
    <t>ФССЦ-2001, 16.2.01.02-0002, приказ Минстроя России №1039/пр от 30.12.2016г.</t>
  </si>
  <si>
    <t>Земля растительная механизированной заготовки</t>
  </si>
  <si>
    <t>1-100-29</t>
  </si>
  <si>
    <t>Рабочий среднего разряда 2.9</t>
  </si>
  <si>
    <t>01.7.03.01-0001</t>
  </si>
  <si>
    <t>ФССЦ-2001, 01.7.03.01-0001, приказ Минстроя России №1039/пр от 30.12.2016г.</t>
  </si>
  <si>
    <t>Вода</t>
  </si>
  <si>
    <t>1-100-42</t>
  </si>
  <si>
    <t>Рабочий среднего разряда 4.2</t>
  </si>
  <si>
    <t>91.17.04-233</t>
  </si>
  <si>
    <t>ФСЭМ-2001, 91.17.04-233, приказ Минстроя России №1039/пр от 30.12.2016г.</t>
  </si>
  <si>
    <t>Установки для сварки ручной дуговой (постоянного тока)</t>
  </si>
  <si>
    <t>01.7.11.07-0034</t>
  </si>
  <si>
    <t>ФССЦ-2001, 01.7.11.07-0034, приказ Минстроя России №1039/пр от 30.12.2016г.</t>
  </si>
  <si>
    <t>Электроды диаметром 4 мм Э42А</t>
  </si>
  <si>
    <t>01.7.15.03-0042</t>
  </si>
  <si>
    <t>ФССЦ-2001, 01.7.15.03-0042, приказ Минстроя России №1039/пр от 30.12.2016г.</t>
  </si>
  <si>
    <t>Болты с гайками и шайбами строительные</t>
  </si>
  <si>
    <t>07.2.07.04-0007</t>
  </si>
  <si>
    <t>ФССЦ-2001, 07.2.07.04-0007, приказ Минстроя России №1039/пр от 30.12.2016г.</t>
  </si>
  <si>
    <t>Конструкции стальные индивидуальные решетчатые сварные массой до 0,1 т</t>
  </si>
  <si>
    <t>1-100-30</t>
  </si>
  <si>
    <t>Рабочий среднего разряда 3</t>
  </si>
  <si>
    <t>91.04.01-031</t>
  </si>
  <si>
    <t>ФСЭМ-2001, 91.04.01-031, приказ Минстроя России №1039/пр от 30.12.2016г.</t>
  </si>
  <si>
    <t>Машины бурильно-крановые на автомобиле, глубина бурения 3,5 м</t>
  </si>
  <si>
    <t>91.14.01-002</t>
  </si>
  <si>
    <t>ФСЭМ-2001, 91.14.01-002, приказ Минстроя России №1039/пр от 30.12.2016г.</t>
  </si>
  <si>
    <t>Автобетоносмесители 5 м3</t>
  </si>
  <si>
    <t>11.1.03.01-0001</t>
  </si>
  <si>
    <t>ФССЦ-2001, 11.1.03.01-0001, приказ Минстроя России №1039/пр от 30.12.2016г.</t>
  </si>
  <si>
    <t>Бруски деревянные 50*50 мм</t>
  </si>
  <si>
    <t>91.16.01-001</t>
  </si>
  <si>
    <t>ФСЭМ-2001, 91.16.01-001, приказ Минстроя России №1039/пр от 30.12.2016г.</t>
  </si>
  <si>
    <t>Электростанции передвижные, мощность 2 кВт</t>
  </si>
  <si>
    <t>2-200-60</t>
  </si>
  <si>
    <t>Электромонтажник-наладчик, разряд VI</t>
  </si>
  <si>
    <t>2-400-30</t>
  </si>
  <si>
    <t>Инженер по наладке и испытаниям, категория III</t>
  </si>
  <si>
    <t>05.1.01.13</t>
  </si>
  <si>
    <t>Плиты сборные железобетонные</t>
  </si>
  <si>
    <t>16.2.02.07</t>
  </si>
  <si>
    <t>Семена газонных трав</t>
  </si>
  <si>
    <t>04.1.02.06</t>
  </si>
  <si>
    <t>Бетон</t>
  </si>
  <si>
    <t>07.2.07.11</t>
  </si>
  <si>
    <t>Стойки металлические опорные</t>
  </si>
  <si>
    <t>01.5.02.01</t>
  </si>
  <si>
    <t>Детали крепления барьерных ограждений</t>
  </si>
  <si>
    <t>компл.</t>
  </si>
  <si>
    <t>01.5.02.02</t>
  </si>
  <si>
    <t>Панель металлическая решетчатая для барьерных ограждений</t>
  </si>
  <si>
    <t>08.1.06.05</t>
  </si>
  <si>
    <t>Калитка для барьерных ограждений</t>
  </si>
  <si>
    <t>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</si>
  <si>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</si>
  <si>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</si>
  <si>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</si>
  <si>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 Поправка: Сб.№пнр 1, п.1.1.84.2  Наименование: Для четырехпроводной линии</t>
  </si>
  <si>
    <t>"СОГЛАСОВАНО"</t>
  </si>
  <si>
    <t>"УТВЕРЖДАЮ"</t>
  </si>
  <si>
    <t>Форма № 1а</t>
  </si>
  <si>
    <t>"_____"________________ 2018 г.</t>
  </si>
  <si>
    <t>(наименование стройки)</t>
  </si>
  <si>
    <t>(локальный сметный расчет)</t>
  </si>
  <si>
    <t>(наименование работ и затрат, наименование объекта)</t>
  </si>
  <si>
    <t>базовая</t>
  </si>
  <si>
    <t>текущая</t>
  </si>
  <si>
    <t>цена</t>
  </si>
  <si>
    <t>Сметная стоимость</t>
  </si>
  <si>
    <t>тыс.руб</t>
  </si>
  <si>
    <t>Нормативная трудоемкость</t>
  </si>
  <si>
    <t>чел.час.</t>
  </si>
  <si>
    <t>Средства на оплату труда</t>
  </si>
  <si>
    <t>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</si>
  <si>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</si>
  <si>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</si>
  <si>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</si>
  <si>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</si>
  <si>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единицу измерения, руб.</t>
  </si>
  <si>
    <t>Попра-вочные коэфф., нормы НР и СП</t>
  </si>
  <si>
    <t>Всего затрат в базисном уровне цен, руб.</t>
  </si>
  <si>
    <t>Индексы пересчета, нормы НР и СП</t>
  </si>
  <si>
    <t>ВСЕГО затрат, руб.</t>
  </si>
  <si>
    <t>Составлен(а) в уровне текущих (прогнозных) цен Мособлгосэкспертиза к ФЕР 2017 май 2018 года</t>
  </si>
  <si>
    <t>Всего по позиции</t>
  </si>
  <si>
    <r>
      <t>27-12-010-02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</si>
  <si>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Устройство дорог из сборных железобетонных плит площадью более 3 м2 (плиты - материал Заказчика)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</si>
  <si>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t>ЗП</t>
  </si>
  <si>
    <t>ЭМ</t>
  </si>
  <si>
    <t>в т.ч. ЗПМ</t>
  </si>
  <si>
    <t>МР</t>
  </si>
  <si>
    <t>%</t>
  </si>
  <si>
    <t>ЗТР</t>
  </si>
  <si>
    <t>чел-ч</t>
  </si>
  <si>
    <r>
      <t>27-12-010-04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</si>
  <si>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Разборка дорог из сборных железобетонных плит площадью более 3 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</si>
  <si>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01-02-057-02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</si>
  <si>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Разработка грунта вручную в траншеях глубиной до 2 м без креплений с откосами, группа грунтов 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</si>
  <si>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м08-02-142-01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</si>
  <si>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Устройство постели при одном кабеле в траншее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</si>
  <si>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м08-02-141-04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</si>
  <si>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в готовых траншеях без покрытий, масса 1 м до 6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</si>
  <si>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Кабель ВБбШв 4х70</t>
    </r>
    <r>
      <rPr>
        <i/>
        <sz val="10"/>
        <rFont val="Arial"/>
        <family val="2"/>
        <charset val="204"/>
      </rPr>
      <t xml:space="preserve">
Базисная стоимость: 186,00 = [1 292,37 /  7,3] +  3% Трансп +  2% Заг.скл</t>
    </r>
  </si>
  <si>
    <r>
      <t>м08-02-143-03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</si>
  <si>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Покрытие кабеля, проложенного в траншее плитами одного кабеля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</si>
  <si>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Плита ПЗК 360х480х16 (ПЗК-360)</t>
    </r>
    <r>
      <rPr>
        <i/>
        <sz val="10"/>
        <rFont val="Arial"/>
        <family val="2"/>
        <charset val="204"/>
      </rPr>
      <t xml:space="preserve">
Базисная стоимость: 10,00 = [69,41 /  7,3] +  3% Трансп +  2% Заг.скл</t>
    </r>
  </si>
  <si>
    <r>
      <t>01-02-061-02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</si>
  <si>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Засыпка вручную траншей, пазух котлованов и ям, группа грунтов 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</si>
  <si>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м08-02-147-13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</si>
  <si>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по установленным конструкциям и лоткам с креплением по всей длине, масса 1 м кабеля до 6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</si>
  <si>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м08-02-159-02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</si>
  <si>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Заделка концевая в резиновой перчатке для 3-5-жильного кабеля напряжением до 1 кВ, сечение одной жилы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</si>
  <si>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концевая 4ПКТп(б)-1 70/120 (Б) нг-LS</t>
    </r>
    <r>
      <rPr>
        <i/>
        <sz val="10"/>
        <rFont val="Arial"/>
        <family val="2"/>
        <charset val="204"/>
      </rPr>
      <t xml:space="preserve">
Базисная стоимость: 309,29 = [2 149,15 /  7,3] +  3% Трансп +  2% Заг.скл</t>
    </r>
  </si>
  <si>
    <r>
      <t>м08-02-167-02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</si>
  <si>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Муфта соединительная эпоксидная для 3-5-жильного кабеля напряжением до 1 кВ, сечение одной жилы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</si>
  <si>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соединительная 4ПСТп(б)-1 70/120 (Б)</t>
    </r>
    <r>
      <rPr>
        <i/>
        <sz val="10"/>
        <rFont val="Arial"/>
        <family val="2"/>
        <charset val="204"/>
      </rPr>
      <t xml:space="preserve">
Базисная стоимость: 235,27 = [1 634,75 /  7,3] +  3% Трансп +  2% Заг.скл</t>
    </r>
  </si>
  <si>
    <r>
      <t>м08-02-144-05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</si>
  <si>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Присоединение к зажимам жил проводов или кабелей сечением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</si>
  <si>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47-01-046-04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</si>
  <si>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Подготовка почвы для устройства партерного и обыкновенного газона с внесением растительной земли слоем 15 см вручную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</si>
  <si>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47-01-046-06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</si>
  <si>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Посев газонов партерных, мавританских и обыкновенных вручную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</si>
  <si>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Размещение грунта в соответствии с приказом № 189 от 26.09.2013г. (Письмо Минрегиона России от 29.07.2013 N 13478-СД/10 Приложение №4, п.30, к=8,84; Письмо Минстроя России от 04.04.2018 N 13606-ХМ/09 на I квартал 2018г. Приложение №4, п.30, к=9,97)</t>
    </r>
    <r>
      <rPr>
        <i/>
        <sz val="10"/>
        <rFont val="Arial"/>
        <family val="2"/>
        <charset val="204"/>
      </rPr>
      <t xml:space="preserve">
Базисная стоимость: 12,08 = [126 / 1,18 /  8,84]</t>
    </r>
  </si>
  <si>
    <r>
      <t>м08-03-572-07</t>
    </r>
    <r>
      <rPr>
        <i/>
        <sz val="10"/>
        <rFont val="Arial"/>
        <family val="2"/>
        <charset val="204"/>
      </rPr>
      <t xml:space="preserve">
Поправка: Табл.3, п.1  Поправка: Прил.2, Табл.1, п. 4</t>
    </r>
  </si>
  <si>
    <r>
      <t>Демонтаж блока управления шкафного исполнения или распределительный пункт (шкаф), устанавливаемый на полу, высота и ширина до 1700х1100 мм</t>
    </r>
    <r>
      <rPr>
        <i/>
        <sz val="10"/>
        <rFont val="Arial"/>
        <family val="2"/>
        <charset val="204"/>
      </rPr>
      <t xml:space="preserve">
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</si>
  <si>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м08-02-144-05</t>
    </r>
    <r>
      <rPr>
        <i/>
        <sz val="10"/>
        <rFont val="Arial"/>
        <family val="2"/>
        <charset val="204"/>
      </rPr>
      <t xml:space="preserve">
Поправка: Табл.3, п.1  Поправка: Прил.2, Табл.1, п. 4</t>
    </r>
  </si>
  <si>
    <r>
      <t>Присоединение к зажимам жил проводов или кабелей сечением до 70 мм2 (отключение жил проводов)</t>
    </r>
    <r>
      <rPr>
        <i/>
        <sz val="10"/>
        <rFont val="Arial"/>
        <family val="2"/>
        <charset val="204"/>
      </rPr>
      <t xml:space="preserve">
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</si>
  <si>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09-08-001-01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</si>
  <si>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металлических столбов высотой до 4 м с погружением в бетонное основание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</si>
  <si>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09-08-002-05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</si>
  <si>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заграждений из готовых металлических решетчатых панелей высотой до 2 м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</si>
  <si>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09-08-002-07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</si>
  <si>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калиток из готовых металлических решетчатых панелей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</si>
  <si>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п01-11-024-01</t>
    </r>
    <r>
      <rPr>
        <i/>
        <sz val="10"/>
        <rFont val="Arial"/>
        <family val="2"/>
        <charset val="204"/>
      </rPr>
      <t xml:space="preserve">
Поправка: Прил.2, Табл.4, п. 3</t>
    </r>
  </si>
  <si>
    <r>
      <t>Фазировка электрической линии или трансформатора с сетью напряжением до 1 кВ</t>
    </r>
    <r>
      <rPr>
        <i/>
        <sz val="10"/>
        <rFont val="Arial"/>
        <family val="2"/>
        <charset val="204"/>
      </rPr>
      <t xml:space="preserve">
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</si>
  <si>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п01-11-028-01</t>
    </r>
    <r>
      <rPr>
        <i/>
        <sz val="10"/>
        <rFont val="Arial"/>
        <family val="2"/>
        <charset val="204"/>
      </rPr>
      <t xml:space="preserve">
Поправка: Прил.2, Табл.4, п. 3  Поправка: Сб.№пнр 1, п.1.1.84.2</t>
    </r>
  </si>
  <si>
    <r>
  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  </r>
    <r>
      <rPr>
        <i/>
        <sz val="10"/>
        <rFont val="Arial"/>
        <family val="2"/>
        <charset val="204"/>
      </rPr>
      <t xml:space="preserve">
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 Поправка: Сб.№пнр 1, п.1.1.84.2  Наименование: Для четырехпроводной линии</t>
    </r>
  </si>
  <si>
    <t>НДС-18%</t>
  </si>
  <si>
    <t>Итого с НДС-18%</t>
  </si>
  <si>
    <t>ООО "ОДПС Сколково"</t>
  </si>
  <si>
    <t>Генеральный директор</t>
  </si>
  <si>
    <t>______________/А.С. Савченко/</t>
  </si>
  <si>
    <t>Итого по локальной смете без учета материалов Заказчика с учетом коэффициента тендерного снижения К=</t>
  </si>
  <si>
    <t>_______________/А.С. Савченко/</t>
  </si>
  <si>
    <t>Итого по локальной смете с учетом коэффициента тендерного снижения К=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</si>
</sst>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\ #,##0.00"/>
    <numFmt numFmtId="165" formatCode="mmmm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11" fillId="0" borderId="0" xfId="0" applyFont="1" applyAlignment="1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horizontal="center"/>
    </xf>
    <xf numFmtId="164" fontId="10" fillId="0" borderId="0" xfId="0" applyNumberFormat="1" applyFont="1" applyAlignment="1">
      <alignment horizontal="right"/>
    </xf>
    <xf numFmtId="165" fontId="10" fillId="0" borderId="0" xfId="0" applyNumberFormat="1" applyFont="1"/>
    <xf numFmtId="1" fontId="10" fillId="0" borderId="0" xfId="0" applyNumberFormat="1" applyFont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4" fontId="16" fillId="0" borderId="0" xfId="0" applyNumberFormat="1" applyFont="1" applyAlignment="1">
      <alignment horizontal="right"/>
    </xf>
    <xf numFmtId="164" fontId="0" fillId="0" borderId="0" xfId="0" applyNumberFormat="1"/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 wrapText="1"/>
    </xf>
    <xf numFmtId="164" fontId="15" fillId="0" borderId="0" xfId="0" applyNumberFormat="1" applyFont="1" applyAlignment="1">
      <alignment horizontal="right"/>
    </xf>
    <xf numFmtId="0" fontId="10" fillId="0" borderId="0" xfId="0" quotePrefix="1" applyFont="1" applyAlignment="1">
      <alignment horizontal="righ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164" fontId="16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6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2" xfId="0" applyFont="1" applyBorder="1" applyAlignment="1">
      <alignment horizontal="center" vertical="top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center" vertical="top" wrapText="1"/>
    </xf>
    <xf numFmtId="0" fontId="0" fillId="0" borderId="0" xfId="0" applyAlignment="1"/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0" fillId="0" borderId="0" xfId="0" applyFont="1" applyBorder="1"/>
    <xf numFmtId="0" fontId="9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97"/>
  <sheetViews>
    <sheetView tabSelected="1" view="pageBreakPreview" topLeftCell="A232" zoomScaleNormal="100" zoomScaleSheetLayoutView="100" workbookViewId="0">
      <selection activeCell="I290" sqref="I290:J290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1.7109375" customWidth="1"/>
    <col min="6" max="10" width="12.7109375" customWidth="1"/>
    <col min="15" max="30" width="0" hidden="1" customWidth="1"/>
    <col min="31" max="31" width="141.7109375" hidden="1" customWidth="1"/>
    <col min="32" max="32" width="93.7109375" hidden="1" customWidth="1"/>
    <col min="33" max="36" width="0" hidden="1" customWidth="1"/>
  </cols>
  <sheetData>
    <row r="1" spans="1:10" s="9" customFormat="1" ht="12" x14ac:dyDescent="0.2">
      <c r="A1" s="9" t="str">
        <f>Source!B1</f>
        <v>Smeta.RU  (495) 974-1589</v>
      </c>
    </row>
    <row r="2" spans="1:10" ht="14.25" x14ac:dyDescent="0.2">
      <c r="A2" s="10"/>
      <c r="B2" s="10"/>
      <c r="C2" s="10"/>
      <c r="D2" s="10"/>
      <c r="E2" s="10"/>
      <c r="F2" s="10"/>
      <c r="G2" s="10"/>
      <c r="H2" s="10"/>
      <c r="I2" s="10"/>
      <c r="J2" s="11" t="s">
        <v>479</v>
      </c>
    </row>
    <row r="3" spans="1:10" ht="16.5" x14ac:dyDescent="0.25">
      <c r="A3" s="12"/>
      <c r="B3" s="52" t="s">
        <v>477</v>
      </c>
      <c r="C3" s="52"/>
      <c r="D3" s="52"/>
      <c r="E3" s="52"/>
      <c r="F3" s="13"/>
      <c r="G3" s="52" t="s">
        <v>478</v>
      </c>
      <c r="H3" s="48"/>
      <c r="I3" s="48"/>
      <c r="J3" s="48"/>
    </row>
    <row r="4" spans="1:10" ht="14.25" x14ac:dyDescent="0.2">
      <c r="A4" s="13"/>
      <c r="B4" s="47"/>
      <c r="C4" s="47"/>
      <c r="D4" s="47"/>
      <c r="E4" s="47"/>
      <c r="F4" s="13"/>
      <c r="G4" s="47" t="s">
        <v>558</v>
      </c>
      <c r="H4" s="48"/>
      <c r="I4" s="48"/>
      <c r="J4" s="48"/>
    </row>
    <row r="5" spans="1:10" ht="14.25" x14ac:dyDescent="0.2">
      <c r="A5" s="14"/>
      <c r="B5" s="14"/>
      <c r="C5" s="15"/>
      <c r="D5" s="15"/>
      <c r="E5" s="15"/>
      <c r="F5" s="13"/>
      <c r="G5" s="16" t="s">
        <v>559</v>
      </c>
      <c r="H5" s="15"/>
      <c r="I5" s="15"/>
      <c r="J5" s="15"/>
    </row>
    <row r="6" spans="1:10" ht="14.25" x14ac:dyDescent="0.2">
      <c r="A6" s="14"/>
      <c r="B6" s="14"/>
      <c r="C6" s="15"/>
      <c r="D6" s="15"/>
      <c r="E6" s="15"/>
      <c r="F6" s="13"/>
      <c r="G6" s="41"/>
      <c r="H6" s="15"/>
      <c r="I6" s="15"/>
      <c r="J6" s="15"/>
    </row>
    <row r="7" spans="1:10" ht="14.25" x14ac:dyDescent="0.2">
      <c r="A7" s="16"/>
      <c r="B7" s="47" t="str">
        <f>CONCATENATE("______________________ ", IF(Source!AL12&lt;&gt;"", Source!AL12, ""))</f>
        <v xml:space="preserve">______________________ </v>
      </c>
      <c r="C7" s="47"/>
      <c r="D7" s="47"/>
      <c r="E7" s="47"/>
      <c r="F7" s="13"/>
      <c r="G7" s="47" t="s">
        <v>560</v>
      </c>
      <c r="H7" s="48"/>
      <c r="I7" s="48"/>
      <c r="J7" s="48"/>
    </row>
    <row r="8" spans="1:10" ht="14.25" x14ac:dyDescent="0.2">
      <c r="A8" s="17"/>
      <c r="B8" s="49" t="s">
        <v>480</v>
      </c>
      <c r="C8" s="49"/>
      <c r="D8" s="49"/>
      <c r="E8" s="49"/>
      <c r="F8" s="13"/>
      <c r="G8" s="49" t="s">
        <v>480</v>
      </c>
      <c r="H8" s="50"/>
      <c r="I8" s="50"/>
      <c r="J8" s="50"/>
    </row>
    <row r="10" spans="1:10" ht="14.25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1"/>
    </row>
    <row r="11" spans="1:10" ht="15.75" x14ac:dyDescent="0.25">
      <c r="A11" s="55" t="s">
        <v>5</v>
      </c>
      <c r="B11" s="55"/>
      <c r="C11" s="55"/>
      <c r="D11" s="55"/>
      <c r="E11" s="55"/>
      <c r="F11" s="55"/>
      <c r="G11" s="55"/>
      <c r="H11" s="55"/>
      <c r="I11" s="55"/>
      <c r="J11" s="55"/>
    </row>
    <row r="12" spans="1:10" x14ac:dyDescent="0.2">
      <c r="A12" s="51" t="s">
        <v>481</v>
      </c>
      <c r="B12" s="51"/>
      <c r="C12" s="51"/>
      <c r="D12" s="51"/>
      <c r="E12" s="51"/>
      <c r="F12" s="51"/>
      <c r="G12" s="51"/>
      <c r="H12" s="51"/>
      <c r="I12" s="51"/>
      <c r="J12" s="51"/>
    </row>
    <row r="13" spans="1:10" ht="14.25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</row>
    <row r="14" spans="1:10" ht="15.75" x14ac:dyDescent="0.25">
      <c r="A14" s="55" t="str">
        <f>CONCATENATE( "ЛОКАЛЬНЫЙ СМЕТНЫЙ РАСЧЕТ № ",IF(Source!F20&lt;&gt;"Новая локальная смета", Source!F20, ""))</f>
        <v>ЛОКАЛЬНЫЙ СМЕТНЫЙ РАСЧЕТ № 9</v>
      </c>
      <c r="B14" s="55"/>
      <c r="C14" s="55"/>
      <c r="D14" s="55"/>
      <c r="E14" s="55"/>
      <c r="F14" s="55"/>
      <c r="G14" s="55"/>
      <c r="H14" s="55"/>
      <c r="I14" s="55"/>
      <c r="J14" s="55"/>
    </row>
    <row r="15" spans="1:10" x14ac:dyDescent="0.2">
      <c r="A15" s="53" t="s">
        <v>482</v>
      </c>
      <c r="B15" s="53"/>
      <c r="C15" s="53"/>
      <c r="D15" s="53"/>
      <c r="E15" s="53"/>
      <c r="F15" s="53"/>
      <c r="G15" s="53"/>
      <c r="H15" s="53"/>
      <c r="I15" s="53"/>
      <c r="J15" s="53"/>
    </row>
    <row r="16" spans="1:10" ht="14.25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31" ht="18" x14ac:dyDescent="0.25">
      <c r="A17" s="56" t="str">
        <f>IF(Source!G12&lt;&gt;"Новый объект", Source!G12, "")</f>
        <v>Перефиксация КЛ-0,4 кВ из ИВРУ в СП-4</v>
      </c>
      <c r="B17" s="58"/>
      <c r="C17" s="58"/>
      <c r="D17" s="58"/>
      <c r="E17" s="58"/>
      <c r="F17" s="58"/>
      <c r="G17" s="58"/>
      <c r="H17" s="58"/>
      <c r="I17" s="58"/>
      <c r="J17" s="58"/>
    </row>
    <row r="18" spans="1:31" x14ac:dyDescent="0.2">
      <c r="A18" s="53" t="s">
        <v>483</v>
      </c>
      <c r="B18" s="54"/>
      <c r="C18" s="54"/>
      <c r="D18" s="54"/>
      <c r="E18" s="54"/>
      <c r="F18" s="54"/>
      <c r="G18" s="54"/>
      <c r="H18" s="54"/>
      <c r="I18" s="54"/>
      <c r="J18" s="54"/>
    </row>
    <row r="19" spans="1:31" ht="14.25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</row>
    <row r="20" spans="1:31" ht="14.25" x14ac:dyDescent="0.2">
      <c r="A20" s="45" t="str">
        <f>CONCATENATE( "Основание: ", Source!J20)</f>
        <v>Основание: Ведомость объемов работ по перефиксации КЛ-0,4 кВ из ИВРУ в СП-4 (Приложение №5 к Техническому заданию)</v>
      </c>
      <c r="B20" s="45"/>
      <c r="C20" s="45"/>
      <c r="D20" s="45"/>
      <c r="E20" s="45"/>
      <c r="F20" s="45"/>
      <c r="G20" s="45"/>
      <c r="H20" s="45"/>
      <c r="I20" s="45"/>
      <c r="J20" s="45"/>
      <c r="AE20" s="24" t="str">
        <f>CONCATENATE( "Основание: ", Source!J20)</f>
        <v>Основание: Ведомость объемов работ по перефиксации КЛ-0,4 кВ из ИВРУ в СП-4 (Приложение №5 к Техническому заданию)</v>
      </c>
    </row>
    <row r="21" spans="1:31" ht="14.25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</row>
    <row r="22" spans="1:31" ht="14.25" x14ac:dyDescent="0.2">
      <c r="A22" s="13"/>
      <c r="B22" s="13"/>
      <c r="C22" s="13"/>
      <c r="D22" s="13"/>
      <c r="E22" s="13"/>
      <c r="F22" s="13"/>
      <c r="G22" s="13"/>
      <c r="H22" s="18" t="s">
        <v>484</v>
      </c>
      <c r="I22" s="18" t="s">
        <v>485</v>
      </c>
      <c r="J22" s="13"/>
    </row>
    <row r="23" spans="1:31" ht="14.25" x14ac:dyDescent="0.2">
      <c r="A23" s="13"/>
      <c r="B23" s="13"/>
      <c r="C23" s="13"/>
      <c r="D23" s="13"/>
      <c r="E23" s="13"/>
      <c r="F23" s="13"/>
      <c r="G23" s="13"/>
      <c r="H23" s="18" t="s">
        <v>486</v>
      </c>
      <c r="I23" s="18" t="s">
        <v>486</v>
      </c>
      <c r="J23" s="13"/>
    </row>
    <row r="24" spans="1:31" ht="14.25" x14ac:dyDescent="0.2">
      <c r="A24" s="13"/>
      <c r="B24" s="13"/>
      <c r="C24" s="13"/>
      <c r="D24" s="13"/>
      <c r="E24" s="47" t="s">
        <v>487</v>
      </c>
      <c r="F24" s="47"/>
      <c r="G24" s="47"/>
      <c r="H24" s="19">
        <f>SUM(O31:O225)/1000</f>
        <v>45.859249999999996</v>
      </c>
      <c r="I24" s="19">
        <f>(Source!F159/1000)</f>
        <v>437.78710999999998</v>
      </c>
      <c r="J24" s="13" t="s">
        <v>488</v>
      </c>
    </row>
    <row r="25" spans="1:31" ht="14.25" x14ac:dyDescent="0.2">
      <c r="A25" s="13"/>
      <c r="B25" s="13"/>
      <c r="C25" s="13"/>
      <c r="D25" s="13"/>
      <c r="E25" s="47" t="s">
        <v>489</v>
      </c>
      <c r="F25" s="47"/>
      <c r="G25" s="47"/>
      <c r="H25" s="19">
        <f>I25</f>
        <v>172.58743200000001</v>
      </c>
      <c r="I25" s="19">
        <f>(Source!F154+Source!F155)</f>
        <v>172.58743200000001</v>
      </c>
      <c r="J25" s="13" t="s">
        <v>490</v>
      </c>
    </row>
    <row r="26" spans="1:31" ht="14.25" x14ac:dyDescent="0.2">
      <c r="A26" s="13"/>
      <c r="B26" s="13"/>
      <c r="C26" s="13"/>
      <c r="D26" s="13"/>
      <c r="E26" s="47" t="s">
        <v>491</v>
      </c>
      <c r="F26" s="47"/>
      <c r="G26" s="47"/>
      <c r="H26" s="19">
        <f>SUM(Q31:Q225)/1000</f>
        <v>1.5705</v>
      </c>
      <c r="I26" s="19">
        <f>(Source!F147+ Source!F146)/1000</f>
        <v>40.565210000000008</v>
      </c>
      <c r="J26" s="13" t="s">
        <v>488</v>
      </c>
    </row>
    <row r="27" spans="1:31" ht="14.25" x14ac:dyDescent="0.2">
      <c r="A27" s="13"/>
      <c r="B27" s="13"/>
      <c r="C27" s="13"/>
      <c r="D27" s="13"/>
      <c r="E27" s="13"/>
      <c r="F27" s="13"/>
      <c r="G27" s="13"/>
      <c r="H27" s="10"/>
      <c r="I27" s="19"/>
      <c r="J27" s="13"/>
    </row>
    <row r="28" spans="1:31" ht="14.25" x14ac:dyDescent="0.2">
      <c r="A28" s="13" t="s">
        <v>502</v>
      </c>
      <c r="B28" s="13"/>
      <c r="C28" s="13"/>
      <c r="D28" s="20"/>
      <c r="E28" s="21"/>
      <c r="F28" s="13"/>
      <c r="G28" s="13"/>
      <c r="H28" s="13"/>
      <c r="I28" s="13"/>
      <c r="J28" s="13"/>
    </row>
    <row r="29" spans="1:31" ht="71.25" x14ac:dyDescent="0.2">
      <c r="A29" s="22" t="s">
        <v>492</v>
      </c>
      <c r="B29" s="22" t="s">
        <v>493</v>
      </c>
      <c r="C29" s="22" t="s">
        <v>494</v>
      </c>
      <c r="D29" s="22" t="s">
        <v>495</v>
      </c>
      <c r="E29" s="22" t="s">
        <v>496</v>
      </c>
      <c r="F29" s="22" t="s">
        <v>497</v>
      </c>
      <c r="G29" s="23" t="s">
        <v>498</v>
      </c>
      <c r="H29" s="22" t="s">
        <v>499</v>
      </c>
      <c r="I29" s="22" t="s">
        <v>500</v>
      </c>
      <c r="J29" s="22" t="s">
        <v>501</v>
      </c>
    </row>
    <row r="30" spans="1:31" ht="14.25" x14ac:dyDescent="0.2">
      <c r="A30" s="22">
        <v>1</v>
      </c>
      <c r="B30" s="22">
        <v>2</v>
      </c>
      <c r="C30" s="22">
        <v>3</v>
      </c>
      <c r="D30" s="22">
        <v>4</v>
      </c>
      <c r="E30" s="22">
        <v>5</v>
      </c>
      <c r="F30" s="22">
        <v>6</v>
      </c>
      <c r="G30" s="22">
        <v>7</v>
      </c>
      <c r="H30" s="22">
        <v>8</v>
      </c>
      <c r="I30" s="22">
        <v>9</v>
      </c>
      <c r="J30" s="22">
        <v>10</v>
      </c>
    </row>
    <row r="32" spans="1:31" ht="16.5" x14ac:dyDescent="0.25">
      <c r="A32" s="57" t="str">
        <f>CONCATENATE("Раздел: ",IF(Source!G24&lt;&gt;"Новый раздел", Source!G24, ""))</f>
        <v>Раздел: Строительно-монтажные работы</v>
      </c>
      <c r="B32" s="57"/>
      <c r="C32" s="57"/>
      <c r="D32" s="57"/>
      <c r="E32" s="57"/>
      <c r="F32" s="57"/>
      <c r="G32" s="57"/>
      <c r="H32" s="57"/>
      <c r="I32" s="57"/>
      <c r="J32" s="57"/>
    </row>
    <row r="33" spans="1:21" ht="71.25" x14ac:dyDescent="0.2">
      <c r="A33" s="31" t="str">
        <f>Source!E28</f>
        <v>1</v>
      </c>
      <c r="B33" s="32" t="str">
        <f>Source!F28</f>
        <v>т01-01-01-004</v>
      </c>
      <c r="C33" s="32" t="str">
        <f>Source!G28</f>
        <v>Погрузочные работы при автомобильных перевозках изделий из сборного железобетона, бетона, керамзитобетона массой от 3 до 6 т (железобетонные плиты ПАГ-18)</v>
      </c>
      <c r="D33" s="33" t="str">
        <f>Source!H28</f>
        <v>1 Т ГРУЗА</v>
      </c>
      <c r="E33" s="34">
        <f>Source!I28</f>
        <v>43.2</v>
      </c>
      <c r="F33" s="35">
        <f>Source!AK28</f>
        <v>10.4</v>
      </c>
      <c r="G33" s="36" t="str">
        <f>Source!DC28</f>
        <v/>
      </c>
      <c r="H33" s="35">
        <f>ROUND(Source!AB28*Source!I28, 2)</f>
        <v>449.28</v>
      </c>
      <c r="I33" s="36">
        <f>Source!AZ28</f>
        <v>13.52</v>
      </c>
      <c r="J33" s="35">
        <f>Source!GM28</f>
        <v>6074.27</v>
      </c>
      <c r="R33">
        <f>ROUND((Source!FX28/100)*((ROUND(0*Source!I28, 2)+ROUND(0*Source!I28, 2))), 2)</f>
        <v>0</v>
      </c>
      <c r="S33">
        <f>Source!X28</f>
        <v>0</v>
      </c>
      <c r="T33">
        <f>ROUND((Source!FY28/100)*((ROUND(0*Source!I28, 2)+ROUND(0*Source!I28, 2))), 2)</f>
        <v>0</v>
      </c>
      <c r="U33">
        <f>Source!Y28</f>
        <v>0</v>
      </c>
    </row>
    <row r="34" spans="1:21" ht="15" x14ac:dyDescent="0.25">
      <c r="C34" s="29" t="s">
        <v>503</v>
      </c>
      <c r="G34" s="42">
        <f>H33</f>
        <v>449.28</v>
      </c>
      <c r="H34" s="42"/>
      <c r="I34" s="42">
        <f>J33</f>
        <v>6074.27</v>
      </c>
      <c r="J34" s="42"/>
      <c r="O34" s="30">
        <f>G34</f>
        <v>449.28</v>
      </c>
      <c r="P34" s="30">
        <f>I34</f>
        <v>6074.27</v>
      </c>
    </row>
    <row r="35" spans="1:21" ht="71.25" x14ac:dyDescent="0.2">
      <c r="A35" s="31" t="str">
        <f>Source!E29</f>
        <v>2</v>
      </c>
      <c r="B35" s="32" t="str">
        <f>Source!F29</f>
        <v>т03-21-01-002</v>
      </c>
      <c r="C35" s="32" t="str">
        <f>Source!G29</f>
        <v>Перевозка грузов I класса автомобилями-самосвалами грузоподъемностью 10 т работающих вне карьера на расстояние до 2 км (со склада ОДПС на площадку)</v>
      </c>
      <c r="D35" s="33" t="str">
        <f>Source!H29</f>
        <v>1 Т ГРУЗА</v>
      </c>
      <c r="E35" s="34">
        <f>Source!I29</f>
        <v>43.2</v>
      </c>
      <c r="F35" s="35">
        <f>Source!AK29</f>
        <v>3.86</v>
      </c>
      <c r="G35" s="36" t="str">
        <f>Source!DC29</f>
        <v/>
      </c>
      <c r="H35" s="35">
        <f>ROUND(Source!AB29*Source!I29, 2)</f>
        <v>166.75</v>
      </c>
      <c r="I35" s="36">
        <f>Source!AZ29</f>
        <v>7.72</v>
      </c>
      <c r="J35" s="35">
        <f>Source!GM29</f>
        <v>1287.33</v>
      </c>
      <c r="R35">
        <f>ROUND((Source!FX29/100)*((ROUND(0*Source!I29, 2)+ROUND(0*Source!I29, 2))), 2)</f>
        <v>0</v>
      </c>
      <c r="S35">
        <f>Source!X29</f>
        <v>0</v>
      </c>
      <c r="T35">
        <f>ROUND((Source!FY29/100)*((ROUND(0*Source!I29, 2)+ROUND(0*Source!I29, 2))), 2)</f>
        <v>0</v>
      </c>
      <c r="U35">
        <f>Source!Y29</f>
        <v>0</v>
      </c>
    </row>
    <row r="36" spans="1:21" ht="15" x14ac:dyDescent="0.25">
      <c r="C36" s="29" t="s">
        <v>503</v>
      </c>
      <c r="G36" s="42">
        <f>H35</f>
        <v>166.75</v>
      </c>
      <c r="H36" s="42"/>
      <c r="I36" s="42">
        <f>J35</f>
        <v>1287.33</v>
      </c>
      <c r="J36" s="42"/>
      <c r="O36" s="30">
        <f>G36</f>
        <v>166.75</v>
      </c>
      <c r="P36" s="30">
        <f>I36</f>
        <v>1287.33</v>
      </c>
    </row>
    <row r="37" spans="1:21" ht="195.75" x14ac:dyDescent="0.2">
      <c r="A37" s="25" t="str">
        <f>Source!E30</f>
        <v>3</v>
      </c>
      <c r="B37" s="26" t="s">
        <v>504</v>
      </c>
      <c r="C37" s="26" t="s">
        <v>505</v>
      </c>
      <c r="D37" s="27" t="str">
        <f>Source!H30</f>
        <v>100 м3</v>
      </c>
      <c r="E37" s="10">
        <f>Source!I30</f>
        <v>0.17280000000000001</v>
      </c>
      <c r="F37" s="19"/>
      <c r="G37" s="28"/>
      <c r="H37" s="19"/>
      <c r="I37" s="28" t="str">
        <f>Source!BO30</f>
        <v>27-12-010-02</v>
      </c>
      <c r="J37" s="19"/>
      <c r="R37">
        <f>ROUND((Source!FX30/100)*((ROUND(Source!AF30*Source!I30, 2)+ROUND(Source!AE30*Source!I30, 2))), 2)</f>
        <v>480.88</v>
      </c>
      <c r="S37">
        <f>Source!X30</f>
        <v>10584.43</v>
      </c>
      <c r="T37">
        <f>ROUND((Source!FY30/100)*((ROUND(Source!AF30*Source!I30, 2)+ROUND(Source!AE30*Source!I30, 2))), 2)</f>
        <v>321.72000000000003</v>
      </c>
      <c r="U37">
        <f>Source!Y30</f>
        <v>6648.07</v>
      </c>
    </row>
    <row r="38" spans="1:21" ht="14.25" x14ac:dyDescent="0.2">
      <c r="A38" s="25"/>
      <c r="B38" s="26"/>
      <c r="C38" s="26" t="s">
        <v>506</v>
      </c>
      <c r="D38" s="27"/>
      <c r="E38" s="10"/>
      <c r="F38" s="19">
        <f>Source!AO30</f>
        <v>1169.18</v>
      </c>
      <c r="G38" s="28" t="str">
        <f>Source!DG30</f>
        <v>)*1,2</v>
      </c>
      <c r="H38" s="19">
        <f>ROUND(Source!AF30*Source!I30, 2)</f>
        <v>242.44</v>
      </c>
      <c r="I38" s="28">
        <f>IF(Source!BA30&lt;&gt; 0, Source!BA30, 1)</f>
        <v>25.83</v>
      </c>
      <c r="J38" s="19">
        <f>Source!S30</f>
        <v>6262.27</v>
      </c>
      <c r="Q38">
        <f>ROUND(Source!AF30*Source!I30, 2)</f>
        <v>242.44</v>
      </c>
    </row>
    <row r="39" spans="1:21" ht="14.25" x14ac:dyDescent="0.2">
      <c r="A39" s="25"/>
      <c r="B39" s="26"/>
      <c r="C39" s="26" t="s">
        <v>507</v>
      </c>
      <c r="D39" s="27"/>
      <c r="E39" s="10"/>
      <c r="F39" s="19">
        <f>Source!AM30</f>
        <v>3856.84</v>
      </c>
      <c r="G39" s="28" t="str">
        <f>Source!DE30</f>
        <v>)*1,2</v>
      </c>
      <c r="H39" s="19">
        <f>ROUND(Source!AD30*Source!I30, 2)</f>
        <v>799.75</v>
      </c>
      <c r="I39" s="28">
        <f>IF(Source!BB30&lt;&gt; 0, Source!BB30, 1)</f>
        <v>7.95</v>
      </c>
      <c r="J39" s="19">
        <f>Source!Q30</f>
        <v>6358.05</v>
      </c>
    </row>
    <row r="40" spans="1:21" ht="14.25" x14ac:dyDescent="0.2">
      <c r="A40" s="25"/>
      <c r="B40" s="26"/>
      <c r="C40" s="26" t="s">
        <v>508</v>
      </c>
      <c r="D40" s="27"/>
      <c r="E40" s="10"/>
      <c r="F40" s="19">
        <f>Source!AN30</f>
        <v>463.99</v>
      </c>
      <c r="G40" s="28" t="str">
        <f>Source!DF30</f>
        <v>)*1,2</v>
      </c>
      <c r="H40" s="37">
        <f>ROUND(Source!AE30*Source!I30, 2)</f>
        <v>96.21</v>
      </c>
      <c r="I40" s="28">
        <f>IF(Source!BS30&lt;&gt; 0, Source!BS30, 1)</f>
        <v>25.83</v>
      </c>
      <c r="J40" s="37">
        <f>Source!R30</f>
        <v>2485.19</v>
      </c>
      <c r="Q40">
        <f>ROUND(Source!AE30*Source!I30, 2)</f>
        <v>96.21</v>
      </c>
    </row>
    <row r="41" spans="1:21" ht="14.25" x14ac:dyDescent="0.2">
      <c r="A41" s="25"/>
      <c r="B41" s="26"/>
      <c r="C41" s="26" t="s">
        <v>509</v>
      </c>
      <c r="D41" s="27"/>
      <c r="E41" s="10"/>
      <c r="F41" s="19">
        <f>Source!AL30</f>
        <v>65.209999999999994</v>
      </c>
      <c r="G41" s="28" t="str">
        <f>Source!DD30</f>
        <v/>
      </c>
      <c r="H41" s="19">
        <f>ROUND(Source!AC30*Source!I30, 2)</f>
        <v>11.27</v>
      </c>
      <c r="I41" s="28">
        <f>IF(Source!BC30&lt;&gt; 0, Source!BC30, 1)</f>
        <v>10.3</v>
      </c>
      <c r="J41" s="19">
        <f>Source!P30</f>
        <v>116.06</v>
      </c>
    </row>
    <row r="42" spans="1:21" ht="14.25" x14ac:dyDescent="0.2">
      <c r="A42" s="25"/>
      <c r="B42" s="26"/>
      <c r="C42" s="26" t="str">
        <f>CONCATENATE("НР от ФОТ [к тек. уровню ", Source!FV30, "]")</f>
        <v>НР от ФОТ [к тек. уровню *0,85]</v>
      </c>
      <c r="D42" s="27" t="s">
        <v>510</v>
      </c>
      <c r="E42" s="10">
        <f>Source!BZ30</f>
        <v>142</v>
      </c>
      <c r="F42" s="19"/>
      <c r="G42" s="28"/>
      <c r="H42" s="19">
        <f>SUM(R37:R41)</f>
        <v>480.88</v>
      </c>
      <c r="I42" s="28">
        <f>Source!AT30</f>
        <v>121</v>
      </c>
      <c r="J42" s="19">
        <f>SUM(S37:S41)</f>
        <v>10584.43</v>
      </c>
    </row>
    <row r="43" spans="1:21" ht="14.25" x14ac:dyDescent="0.2">
      <c r="A43" s="25"/>
      <c r="B43" s="26"/>
      <c r="C43" s="26" t="str">
        <f>CONCATENATE("СП от ФОТ [к тек. уровню ", Source!FW30, "]")</f>
        <v>СП от ФОТ [к тек. уровню *0,8]</v>
      </c>
      <c r="D43" s="27" t="s">
        <v>510</v>
      </c>
      <c r="E43" s="10">
        <f>Source!CA30</f>
        <v>95</v>
      </c>
      <c r="F43" s="19"/>
      <c r="G43" s="28"/>
      <c r="H43" s="19">
        <f>SUM(T37:T42)</f>
        <v>321.72000000000003</v>
      </c>
      <c r="I43" s="28">
        <f>Source!AU30</f>
        <v>76</v>
      </c>
      <c r="J43" s="19">
        <f>SUM(U37:U42)</f>
        <v>6648.07</v>
      </c>
    </row>
    <row r="44" spans="1:21" ht="14.25" x14ac:dyDescent="0.2">
      <c r="A44" s="31"/>
      <c r="B44" s="32"/>
      <c r="C44" s="32" t="s">
        <v>511</v>
      </c>
      <c r="D44" s="33" t="s">
        <v>512</v>
      </c>
      <c r="E44" s="34">
        <f>Source!AQ30</f>
        <v>139.52000000000001</v>
      </c>
      <c r="F44" s="35"/>
      <c r="G44" s="36" t="str">
        <f>Source!DI30</f>
        <v>)*1,2</v>
      </c>
      <c r="H44" s="35">
        <f>Source!U30</f>
        <v>28.930867200000002</v>
      </c>
      <c r="I44" s="36"/>
      <c r="J44" s="35"/>
    </row>
    <row r="45" spans="1:21" ht="15" x14ac:dyDescent="0.25">
      <c r="C45" s="29" t="s">
        <v>503</v>
      </c>
      <c r="G45" s="42">
        <f>ROUND(Source!AC30*Source!I30, 2)+ROUND(Source!AF30*Source!I30, 2)+ROUND(Source!AD30*Source!I30, 2)+SUM(H42:H43)</f>
        <v>1856.06</v>
      </c>
      <c r="H45" s="42"/>
      <c r="I45" s="42">
        <f>Source!P30+Source!Q30+Source!S30+SUM(J42:J43)</f>
        <v>29968.880000000001</v>
      </c>
      <c r="J45" s="42"/>
      <c r="O45" s="30">
        <f>G45</f>
        <v>1856.06</v>
      </c>
      <c r="P45" s="30">
        <f>I45</f>
        <v>29968.880000000001</v>
      </c>
    </row>
    <row r="46" spans="1:21" ht="57" x14ac:dyDescent="0.2">
      <c r="A46" s="31" t="str">
        <f>Source!E31</f>
        <v>4</v>
      </c>
      <c r="B46" s="32" t="str">
        <f>Source!F31</f>
        <v>05.1.08.06-0071 (материал Заказчика)</v>
      </c>
      <c r="C46" s="32" t="str">
        <f>Source!G31</f>
        <v>Плиты железобетонные для покрытий автомобильных дорог</v>
      </c>
      <c r="D46" s="33" t="str">
        <f>Source!H31</f>
        <v>м3</v>
      </c>
      <c r="E46" s="34">
        <f>Source!I31</f>
        <v>17.28</v>
      </c>
      <c r="F46" s="35">
        <f>Source!AL31</f>
        <v>964</v>
      </c>
      <c r="G46" s="36" t="str">
        <f>Source!DD31</f>
        <v/>
      </c>
      <c r="H46" s="35">
        <f>ROUND(Source!AC31*Source!I31, 2)</f>
        <v>16657.919999999998</v>
      </c>
      <c r="I46" s="36">
        <f>IF(Source!BC31&lt;&gt; 0, Source!BC31, 1)</f>
        <v>9.2799999999999994</v>
      </c>
      <c r="J46" s="35">
        <f>Source!P31</f>
        <v>154585.5</v>
      </c>
      <c r="R46">
        <f>ROUND((Source!FX31/100)*((ROUND(Source!AF31*Source!I31, 2)+ROUND(Source!AE31*Source!I31, 2))), 2)</f>
        <v>0</v>
      </c>
      <c r="S46">
        <f>Source!X31</f>
        <v>0</v>
      </c>
      <c r="T46">
        <f>ROUND((Source!FY31/100)*((ROUND(Source!AF31*Source!I31, 2)+ROUND(Source!AE31*Source!I31, 2))), 2)</f>
        <v>0</v>
      </c>
      <c r="U46">
        <f>Source!Y31</f>
        <v>0</v>
      </c>
    </row>
    <row r="47" spans="1:21" ht="15" x14ac:dyDescent="0.25">
      <c r="C47" s="29" t="s">
        <v>503</v>
      </c>
      <c r="G47" s="42">
        <f>ROUND(Source!AC31*Source!I31, 2)+ROUND(Source!AF31*Source!I31, 2)+ROUND(Source!AD31*Source!I31, 2)</f>
        <v>16657.919999999998</v>
      </c>
      <c r="H47" s="42"/>
      <c r="I47" s="42">
        <f>Source!P31+Source!Q31+Source!S31</f>
        <v>154585.5</v>
      </c>
      <c r="J47" s="42"/>
      <c r="O47">
        <f>G47</f>
        <v>16657.919999999998</v>
      </c>
      <c r="P47">
        <f>I47</f>
        <v>154585.5</v>
      </c>
    </row>
    <row r="48" spans="1:21" ht="195.75" x14ac:dyDescent="0.2">
      <c r="A48" s="25" t="str">
        <f>Source!E32</f>
        <v>5</v>
      </c>
      <c r="B48" s="26" t="s">
        <v>513</v>
      </c>
      <c r="C48" s="26" t="s">
        <v>514</v>
      </c>
      <c r="D48" s="27" t="str">
        <f>Source!H32</f>
        <v>100 м3</v>
      </c>
      <c r="E48" s="10">
        <f>Source!I32</f>
        <v>0.17280000000000001</v>
      </c>
      <c r="F48" s="19"/>
      <c r="G48" s="28"/>
      <c r="H48" s="19"/>
      <c r="I48" s="28" t="str">
        <f>Source!BO32</f>
        <v>27-12-010-04</v>
      </c>
      <c r="J48" s="19"/>
      <c r="R48">
        <f>ROUND((Source!FX32/100)*((ROUND(Source!AF32*Source!I32, 2)+ROUND(Source!AE32*Source!I32, 2))), 2)</f>
        <v>202.51</v>
      </c>
      <c r="S48">
        <f>Source!X32</f>
        <v>4457.24</v>
      </c>
      <c r="T48">
        <f>ROUND((Source!FY32/100)*((ROUND(Source!AF32*Source!I32, 2)+ROUND(Source!AE32*Source!I32, 2))), 2)</f>
        <v>135.47999999999999</v>
      </c>
      <c r="U48">
        <f>Source!Y32</f>
        <v>2799.59</v>
      </c>
    </row>
    <row r="49" spans="1:21" ht="14.25" x14ac:dyDescent="0.2">
      <c r="A49" s="25"/>
      <c r="B49" s="26"/>
      <c r="C49" s="26" t="s">
        <v>506</v>
      </c>
      <c r="D49" s="27"/>
      <c r="E49" s="10"/>
      <c r="F49" s="19">
        <f>Source!AO32</f>
        <v>315.26</v>
      </c>
      <c r="G49" s="28" t="str">
        <f>Source!DG32</f>
        <v>)*1,2</v>
      </c>
      <c r="H49" s="19">
        <f>ROUND(Source!AF32*Source!I32, 2)</f>
        <v>65.37</v>
      </c>
      <c r="I49" s="28">
        <f>IF(Source!BA32&lt;&gt; 0, Source!BA32, 1)</f>
        <v>25.83</v>
      </c>
      <c r="J49" s="19">
        <f>Source!S32</f>
        <v>1688.56</v>
      </c>
      <c r="Q49">
        <f>ROUND(Source!AF32*Source!I32, 2)</f>
        <v>65.37</v>
      </c>
    </row>
    <row r="50" spans="1:21" ht="14.25" x14ac:dyDescent="0.2">
      <c r="A50" s="25"/>
      <c r="B50" s="26"/>
      <c r="C50" s="26" t="s">
        <v>507</v>
      </c>
      <c r="D50" s="27"/>
      <c r="E50" s="10"/>
      <c r="F50" s="19">
        <f>Source!AM32</f>
        <v>2679.86</v>
      </c>
      <c r="G50" s="28" t="str">
        <f>Source!DE32</f>
        <v>)*1,2</v>
      </c>
      <c r="H50" s="19">
        <f>ROUND(Source!AD32*Source!I32, 2)</f>
        <v>555.70000000000005</v>
      </c>
      <c r="I50" s="28">
        <f>IF(Source!BB32&lt;&gt; 0, Source!BB32, 1)</f>
        <v>9.39</v>
      </c>
      <c r="J50" s="19">
        <f>Source!Q32</f>
        <v>5217.9799999999996</v>
      </c>
    </row>
    <row r="51" spans="1:21" ht="14.25" x14ac:dyDescent="0.2">
      <c r="A51" s="25"/>
      <c r="B51" s="26"/>
      <c r="C51" s="26" t="s">
        <v>508</v>
      </c>
      <c r="D51" s="27"/>
      <c r="E51" s="10"/>
      <c r="F51" s="19">
        <f>Source!AN32</f>
        <v>372.49</v>
      </c>
      <c r="G51" s="28" t="str">
        <f>Source!DF32</f>
        <v>)*1,2</v>
      </c>
      <c r="H51" s="37">
        <f>ROUND(Source!AE32*Source!I32, 2)</f>
        <v>77.239999999999995</v>
      </c>
      <c r="I51" s="28">
        <f>IF(Source!BS32&lt;&gt; 0, Source!BS32, 1)</f>
        <v>25.83</v>
      </c>
      <c r="J51" s="37">
        <f>Source!R32</f>
        <v>1995.11</v>
      </c>
      <c r="Q51">
        <f>ROUND(Source!AE32*Source!I32, 2)</f>
        <v>77.239999999999995</v>
      </c>
    </row>
    <row r="52" spans="1:21" ht="14.25" x14ac:dyDescent="0.2">
      <c r="A52" s="25"/>
      <c r="B52" s="26"/>
      <c r="C52" s="26" t="str">
        <f>CONCATENATE("НР от ФОТ [к тек. уровню ", Source!FV32, "]")</f>
        <v>НР от ФОТ [к тек. уровню *0,85]</v>
      </c>
      <c r="D52" s="27" t="s">
        <v>510</v>
      </c>
      <c r="E52" s="10">
        <f>Source!BZ32</f>
        <v>142</v>
      </c>
      <c r="F52" s="19"/>
      <c r="G52" s="28"/>
      <c r="H52" s="19">
        <f>SUM(R48:R51)</f>
        <v>202.51</v>
      </c>
      <c r="I52" s="28">
        <f>Source!AT32</f>
        <v>121</v>
      </c>
      <c r="J52" s="19">
        <f>SUM(S48:S51)</f>
        <v>4457.24</v>
      </c>
    </row>
    <row r="53" spans="1:21" ht="14.25" x14ac:dyDescent="0.2">
      <c r="A53" s="25"/>
      <c r="B53" s="26"/>
      <c r="C53" s="26" t="str">
        <f>CONCATENATE("СП от ФОТ [к тек. уровню ", Source!FW32, "]")</f>
        <v>СП от ФОТ [к тек. уровню *0,8]</v>
      </c>
      <c r="D53" s="27" t="s">
        <v>510</v>
      </c>
      <c r="E53" s="10">
        <f>Source!CA32</f>
        <v>95</v>
      </c>
      <c r="F53" s="19"/>
      <c r="G53" s="28"/>
      <c r="H53" s="19">
        <f>SUM(T48:T52)</f>
        <v>135.47999999999999</v>
      </c>
      <c r="I53" s="28">
        <f>Source!AU32</f>
        <v>76</v>
      </c>
      <c r="J53" s="19">
        <f>SUM(U48:U52)</f>
        <v>2799.59</v>
      </c>
    </row>
    <row r="54" spans="1:21" ht="14.25" x14ac:dyDescent="0.2">
      <c r="A54" s="31"/>
      <c r="B54" s="32"/>
      <c r="C54" s="32" t="s">
        <v>511</v>
      </c>
      <c r="D54" s="33" t="s">
        <v>512</v>
      </c>
      <c r="E54" s="34">
        <f>Source!AQ32</f>
        <v>38.26</v>
      </c>
      <c r="F54" s="35"/>
      <c r="G54" s="36" t="str">
        <f>Source!DI32</f>
        <v>)*1,2</v>
      </c>
      <c r="H54" s="35">
        <f>Source!U32</f>
        <v>7.9335936</v>
      </c>
      <c r="I54" s="36"/>
      <c r="J54" s="35"/>
    </row>
    <row r="55" spans="1:21" ht="15" x14ac:dyDescent="0.25">
      <c r="C55" s="29" t="s">
        <v>503</v>
      </c>
      <c r="G55" s="42">
        <f>ROUND(Source!AC32*Source!I32, 2)+ROUND(Source!AF32*Source!I32, 2)+ROUND(Source!AD32*Source!I32, 2)+SUM(H52:H53)</f>
        <v>959.06000000000006</v>
      </c>
      <c r="H55" s="42"/>
      <c r="I55" s="42">
        <f>Source!P32+Source!Q32+Source!S32+SUM(J52:J53)</f>
        <v>14163.369999999999</v>
      </c>
      <c r="J55" s="42"/>
      <c r="O55" s="30">
        <f>G55</f>
        <v>959.06000000000006</v>
      </c>
      <c r="P55" s="30">
        <f>I55</f>
        <v>14163.369999999999</v>
      </c>
    </row>
    <row r="56" spans="1:21" ht="71.25" x14ac:dyDescent="0.2">
      <c r="A56" s="31" t="str">
        <f>Source!E33</f>
        <v>6</v>
      </c>
      <c r="B56" s="32" t="str">
        <f>Source!F33</f>
        <v>т03-21-01-001</v>
      </c>
      <c r="C56" s="32" t="str">
        <f>Source!G33</f>
        <v>Перевозка грузов I класса автомобилями-самосвалами грузоподъемностью 10 т работающих вне карьера на расстояние до 1 км (железобетонные плиты ПАГ-18)</v>
      </c>
      <c r="D56" s="33" t="str">
        <f>Source!H33</f>
        <v>1 Т ГРУЗА</v>
      </c>
      <c r="E56" s="34">
        <f>Source!I33</f>
        <v>43.2</v>
      </c>
      <c r="F56" s="35">
        <f>Source!AK33</f>
        <v>2.91</v>
      </c>
      <c r="G56" s="36" t="str">
        <f>Source!DC33</f>
        <v/>
      </c>
      <c r="H56" s="35">
        <f>ROUND(Source!AB33*Source!I33, 2)</f>
        <v>125.71</v>
      </c>
      <c r="I56" s="36">
        <f>Source!AZ33</f>
        <v>7.72</v>
      </c>
      <c r="J56" s="35">
        <f>Source!GM33</f>
        <v>970.5</v>
      </c>
      <c r="R56">
        <f>ROUND((Source!FX33/100)*((ROUND(0*Source!I33, 2)+ROUND(0*Source!I33, 2))), 2)</f>
        <v>0</v>
      </c>
      <c r="S56">
        <f>Source!X33</f>
        <v>0</v>
      </c>
      <c r="T56">
        <f>ROUND((Source!FY33/100)*((ROUND(0*Source!I33, 2)+ROUND(0*Source!I33, 2))), 2)</f>
        <v>0</v>
      </c>
      <c r="U56">
        <f>Source!Y33</f>
        <v>0</v>
      </c>
    </row>
    <row r="57" spans="1:21" ht="15" x14ac:dyDescent="0.25">
      <c r="C57" s="29" t="s">
        <v>503</v>
      </c>
      <c r="G57" s="42">
        <f>H56</f>
        <v>125.71</v>
      </c>
      <c r="H57" s="42"/>
      <c r="I57" s="42">
        <f>J56</f>
        <v>970.5</v>
      </c>
      <c r="J57" s="42"/>
      <c r="O57" s="30">
        <f>G57</f>
        <v>125.71</v>
      </c>
      <c r="P57" s="30">
        <f>I57</f>
        <v>970.5</v>
      </c>
    </row>
    <row r="58" spans="1:21" ht="195.75" x14ac:dyDescent="0.2">
      <c r="A58" s="25" t="str">
        <f>Source!E34</f>
        <v>7</v>
      </c>
      <c r="B58" s="26" t="s">
        <v>515</v>
      </c>
      <c r="C58" s="26" t="s">
        <v>516</v>
      </c>
      <c r="D58" s="27" t="str">
        <f>Source!H34</f>
        <v>100 м3</v>
      </c>
      <c r="E58" s="10">
        <f>Source!I34</f>
        <v>0.16</v>
      </c>
      <c r="F58" s="19"/>
      <c r="G58" s="28"/>
      <c r="H58" s="19"/>
      <c r="I58" s="28" t="str">
        <f>Source!BO34</f>
        <v>01-02-057-02</v>
      </c>
      <c r="J58" s="19"/>
      <c r="R58">
        <f>ROUND((Source!FX34/100)*((ROUND(Source!AF34*Source!I34, 2)+ROUND(Source!AE34*Source!I34, 2))), 2)</f>
        <v>184.5</v>
      </c>
      <c r="S58">
        <f>Source!X34</f>
        <v>4050.88</v>
      </c>
      <c r="T58">
        <f>ROUND((Source!FY34/100)*((ROUND(Source!AF34*Source!I34, 2)+ROUND(Source!AE34*Source!I34, 2))), 2)</f>
        <v>103.78</v>
      </c>
      <c r="U58">
        <f>Source!Y34</f>
        <v>2144.58</v>
      </c>
    </row>
    <row r="59" spans="1:21" ht="14.25" x14ac:dyDescent="0.2">
      <c r="A59" s="25"/>
      <c r="B59" s="26"/>
      <c r="C59" s="26" t="s">
        <v>506</v>
      </c>
      <c r="D59" s="27"/>
      <c r="E59" s="10"/>
      <c r="F59" s="19">
        <f>Source!AO34</f>
        <v>1201.2</v>
      </c>
      <c r="G59" s="28" t="str">
        <f>Source!DG34</f>
        <v>)*1,2</v>
      </c>
      <c r="H59" s="19">
        <f>ROUND(Source!AF34*Source!I34, 2)</f>
        <v>230.63</v>
      </c>
      <c r="I59" s="28">
        <f>IF(Source!BA34&lt;&gt; 0, Source!BA34, 1)</f>
        <v>25.83</v>
      </c>
      <c r="J59" s="19">
        <f>Source!S34</f>
        <v>5957.18</v>
      </c>
      <c r="Q59">
        <f>ROUND(Source!AF34*Source!I34, 2)</f>
        <v>230.63</v>
      </c>
    </row>
    <row r="60" spans="1:21" ht="14.25" x14ac:dyDescent="0.2">
      <c r="A60" s="25"/>
      <c r="B60" s="26"/>
      <c r="C60" s="26" t="str">
        <f>CONCATENATE("НР от ФОТ [к тек. уровню ", Source!FV34, "]")</f>
        <v>НР от ФОТ [к тек. уровню *0,85]</v>
      </c>
      <c r="D60" s="27" t="s">
        <v>510</v>
      </c>
      <c r="E60" s="10">
        <f>Source!BZ34</f>
        <v>80</v>
      </c>
      <c r="F60" s="19"/>
      <c r="G60" s="28"/>
      <c r="H60" s="19">
        <f>SUM(R58:R59)</f>
        <v>184.5</v>
      </c>
      <c r="I60" s="28">
        <f>Source!AT34</f>
        <v>68</v>
      </c>
      <c r="J60" s="19">
        <f>SUM(S58:S59)</f>
        <v>4050.88</v>
      </c>
    </row>
    <row r="61" spans="1:21" ht="14.25" x14ac:dyDescent="0.2">
      <c r="A61" s="25"/>
      <c r="B61" s="26"/>
      <c r="C61" s="26" t="str">
        <f>CONCATENATE("СП от ФОТ [к тек. уровню ", Source!FW34, "]")</f>
        <v>СП от ФОТ [к тек. уровню *0,8]</v>
      </c>
      <c r="D61" s="27" t="s">
        <v>510</v>
      </c>
      <c r="E61" s="10">
        <f>Source!CA34</f>
        <v>45</v>
      </c>
      <c r="F61" s="19"/>
      <c r="G61" s="28"/>
      <c r="H61" s="19">
        <f>SUM(T58:T60)</f>
        <v>103.78</v>
      </c>
      <c r="I61" s="28">
        <f>Source!AU34</f>
        <v>36</v>
      </c>
      <c r="J61" s="19">
        <f>SUM(U58:U60)</f>
        <v>2144.58</v>
      </c>
    </row>
    <row r="62" spans="1:21" ht="14.25" x14ac:dyDescent="0.2">
      <c r="A62" s="31"/>
      <c r="B62" s="32"/>
      <c r="C62" s="32" t="s">
        <v>511</v>
      </c>
      <c r="D62" s="33" t="s">
        <v>512</v>
      </c>
      <c r="E62" s="34">
        <f>Source!AQ34</f>
        <v>154</v>
      </c>
      <c r="F62" s="35"/>
      <c r="G62" s="36" t="str">
        <f>Source!DI34</f>
        <v>)*1,2</v>
      </c>
      <c r="H62" s="35">
        <f>Source!U34</f>
        <v>29.567999999999998</v>
      </c>
      <c r="I62" s="36"/>
      <c r="J62" s="35"/>
    </row>
    <row r="63" spans="1:21" ht="15" x14ac:dyDescent="0.25">
      <c r="C63" s="29" t="s">
        <v>503</v>
      </c>
      <c r="G63" s="42">
        <f>ROUND(Source!AC34*Source!I34, 2)+ROUND(Source!AF34*Source!I34, 2)+ROUND(Source!AD34*Source!I34, 2)+SUM(H60:H61)</f>
        <v>518.91</v>
      </c>
      <c r="H63" s="42"/>
      <c r="I63" s="42">
        <f>Source!P34+Source!Q34+Source!S34+SUM(J60:J61)</f>
        <v>12152.64</v>
      </c>
      <c r="J63" s="42"/>
      <c r="O63" s="30">
        <f>G63</f>
        <v>518.91</v>
      </c>
      <c r="P63" s="30">
        <f>I63</f>
        <v>12152.64</v>
      </c>
    </row>
    <row r="64" spans="1:21" ht="181.5" x14ac:dyDescent="0.2">
      <c r="A64" s="25" t="str">
        <f>Source!E35</f>
        <v>8</v>
      </c>
      <c r="B64" s="26" t="s">
        <v>517</v>
      </c>
      <c r="C64" s="26" t="s">
        <v>518</v>
      </c>
      <c r="D64" s="27" t="str">
        <f>Source!H35</f>
        <v>100 м</v>
      </c>
      <c r="E64" s="10">
        <f>Source!I35</f>
        <v>0.5</v>
      </c>
      <c r="F64" s="19"/>
      <c r="G64" s="28"/>
      <c r="H64" s="19"/>
      <c r="I64" s="28" t="str">
        <f>Source!BO35</f>
        <v>м08-02-142-01</v>
      </c>
      <c r="J64" s="19"/>
      <c r="R64">
        <f>ROUND((Source!FX35/100)*((ROUND(Source!AF35*Source!I35, 2)+ROUND(Source!AE35*Source!I35, 2))), 2)</f>
        <v>54.86</v>
      </c>
      <c r="S64">
        <f>Source!X35</f>
        <v>1208.06</v>
      </c>
      <c r="T64">
        <f>ROUND((Source!FY35/100)*((ROUND(Source!AF35*Source!I35, 2)+ROUND(Source!AE35*Source!I35, 2))), 2)</f>
        <v>37.54</v>
      </c>
      <c r="U64">
        <f>Source!Y35</f>
        <v>775.54</v>
      </c>
    </row>
    <row r="65" spans="1:21" ht="14.25" x14ac:dyDescent="0.2">
      <c r="A65" s="25"/>
      <c r="B65" s="26"/>
      <c r="C65" s="26" t="s">
        <v>506</v>
      </c>
      <c r="D65" s="27"/>
      <c r="E65" s="10"/>
      <c r="F65" s="19">
        <f>Source!AO35</f>
        <v>50.99</v>
      </c>
      <c r="G65" s="28" t="str">
        <f>Source!DG35</f>
        <v>)*1,2</v>
      </c>
      <c r="H65" s="19">
        <f>ROUND(Source!AF35*Source!I35, 2)</f>
        <v>30.6</v>
      </c>
      <c r="I65" s="28">
        <f>IF(Source!BA35&lt;&gt; 0, Source!BA35, 1)</f>
        <v>25.83</v>
      </c>
      <c r="J65" s="19">
        <f>Source!S35</f>
        <v>790.27</v>
      </c>
      <c r="Q65">
        <f>ROUND(Source!AF35*Source!I35, 2)</f>
        <v>30.6</v>
      </c>
    </row>
    <row r="66" spans="1:21" ht="14.25" x14ac:dyDescent="0.2">
      <c r="A66" s="25"/>
      <c r="B66" s="26"/>
      <c r="C66" s="26" t="s">
        <v>507</v>
      </c>
      <c r="D66" s="27"/>
      <c r="E66" s="10"/>
      <c r="F66" s="19">
        <f>Source!AM35</f>
        <v>256.27</v>
      </c>
      <c r="G66" s="28" t="str">
        <f>Source!DE35</f>
        <v>)*1,2</v>
      </c>
      <c r="H66" s="19">
        <f>ROUND(Source!AD35*Source!I35, 2)</f>
        <v>153.77000000000001</v>
      </c>
      <c r="I66" s="28">
        <f>IF(Source!BB35&lt;&gt; 0, Source!BB35, 1)</f>
        <v>12.3</v>
      </c>
      <c r="J66" s="19">
        <f>Source!Q35</f>
        <v>1891.31</v>
      </c>
    </row>
    <row r="67" spans="1:21" ht="14.25" x14ac:dyDescent="0.2">
      <c r="A67" s="25"/>
      <c r="B67" s="26"/>
      <c r="C67" s="26" t="s">
        <v>508</v>
      </c>
      <c r="D67" s="27"/>
      <c r="E67" s="10"/>
      <c r="F67" s="19">
        <f>Source!AN35</f>
        <v>45.24</v>
      </c>
      <c r="G67" s="28" t="str">
        <f>Source!DF35</f>
        <v>)*1,2</v>
      </c>
      <c r="H67" s="37">
        <f>ROUND(Source!AE35*Source!I35, 2)</f>
        <v>27.15</v>
      </c>
      <c r="I67" s="28">
        <f>IF(Source!BS35&lt;&gt; 0, Source!BS35, 1)</f>
        <v>25.83</v>
      </c>
      <c r="J67" s="37">
        <f>Source!R35</f>
        <v>701.16</v>
      </c>
      <c r="Q67">
        <f>ROUND(Source!AE35*Source!I35, 2)</f>
        <v>27.15</v>
      </c>
    </row>
    <row r="68" spans="1:21" ht="14.25" x14ac:dyDescent="0.2">
      <c r="A68" s="25"/>
      <c r="B68" s="26"/>
      <c r="C68" s="26" t="s">
        <v>509</v>
      </c>
      <c r="D68" s="27"/>
      <c r="E68" s="10"/>
      <c r="F68" s="19">
        <f>Source!AL35</f>
        <v>1.02</v>
      </c>
      <c r="G68" s="28" t="str">
        <f>Source!DD35</f>
        <v/>
      </c>
      <c r="H68" s="19">
        <f>ROUND(Source!AC35*Source!I35, 2)</f>
        <v>0.51</v>
      </c>
      <c r="I68" s="28">
        <f>IF(Source!BC35&lt;&gt; 0, Source!BC35, 1)</f>
        <v>25.82</v>
      </c>
      <c r="J68" s="19">
        <f>Source!P35</f>
        <v>13.17</v>
      </c>
    </row>
    <row r="69" spans="1:21" ht="28.5" x14ac:dyDescent="0.2">
      <c r="A69" s="25" t="str">
        <f>Source!E36</f>
        <v>8,1</v>
      </c>
      <c r="B69" s="26" t="str">
        <f>Source!F36</f>
        <v>02.3.01.02-0015</v>
      </c>
      <c r="C69" s="26" t="str">
        <f>Source!G36</f>
        <v>Песок природный для строительных работ средний</v>
      </c>
      <c r="D69" s="27" t="str">
        <f>Source!H36</f>
        <v>м3</v>
      </c>
      <c r="E69" s="10">
        <f>Source!I36</f>
        <v>2</v>
      </c>
      <c r="F69" s="19">
        <f>Source!AK36</f>
        <v>55.26</v>
      </c>
      <c r="G69" s="38" t="s">
        <v>3</v>
      </c>
      <c r="H69" s="19">
        <f>ROUND(Source!AC36*Source!I36, 2)+ROUND(Source!AD36*Source!I36, 2)+ROUND(Source!AF36*Source!I36, 2)</f>
        <v>110.52</v>
      </c>
      <c r="I69" s="28">
        <f>IF(Source!BC36&lt;&gt; 0, Source!BC36, 1)</f>
        <v>10.3</v>
      </c>
      <c r="J69" s="19">
        <f>Source!O36</f>
        <v>1138.3599999999999</v>
      </c>
      <c r="R69">
        <f>ROUND((Source!FX36/100)*((ROUND(Source!AF36*Source!I36, 2)+ROUND(Source!AE36*Source!I36, 2))), 2)</f>
        <v>0</v>
      </c>
      <c r="S69">
        <f>Source!X36</f>
        <v>0</v>
      </c>
      <c r="T69">
        <f>ROUND((Source!FY36/100)*((ROUND(Source!AF36*Source!I36, 2)+ROUND(Source!AE36*Source!I36, 2))), 2)</f>
        <v>0</v>
      </c>
      <c r="U69">
        <f>Source!Y36</f>
        <v>0</v>
      </c>
    </row>
    <row r="70" spans="1:21" ht="14.25" x14ac:dyDescent="0.2">
      <c r="A70" s="25"/>
      <c r="B70" s="26"/>
      <c r="C70" s="26" t="str">
        <f>CONCATENATE("НР от ФОТ [к тек. уровню ", Source!FV35, "]")</f>
        <v>НР от ФОТ [к тек. уровню *0,85]</v>
      </c>
      <c r="D70" s="27" t="s">
        <v>510</v>
      </c>
      <c r="E70" s="10">
        <f>Source!BZ35</f>
        <v>95</v>
      </c>
      <c r="F70" s="19"/>
      <c r="G70" s="28"/>
      <c r="H70" s="19">
        <f>SUM(R64:R69)</f>
        <v>54.86</v>
      </c>
      <c r="I70" s="28">
        <f>Source!AT35</f>
        <v>81</v>
      </c>
      <c r="J70" s="19">
        <f>SUM(S64:S69)</f>
        <v>1208.06</v>
      </c>
    </row>
    <row r="71" spans="1:21" ht="14.25" x14ac:dyDescent="0.2">
      <c r="A71" s="25"/>
      <c r="B71" s="26"/>
      <c r="C71" s="26" t="str">
        <f>CONCATENATE("СП от ФОТ [к тек. уровню ", Source!FW35, "]")</f>
        <v>СП от ФОТ [к тек. уровню *0,8]</v>
      </c>
      <c r="D71" s="27" t="s">
        <v>510</v>
      </c>
      <c r="E71" s="10">
        <f>Source!CA35</f>
        <v>65</v>
      </c>
      <c r="F71" s="19"/>
      <c r="G71" s="28"/>
      <c r="H71" s="19">
        <f>SUM(T64:T70)</f>
        <v>37.54</v>
      </c>
      <c r="I71" s="28">
        <f>Source!AU35</f>
        <v>52</v>
      </c>
      <c r="J71" s="19">
        <f>SUM(U64:U70)</f>
        <v>775.54</v>
      </c>
    </row>
    <row r="72" spans="1:21" ht="14.25" x14ac:dyDescent="0.2">
      <c r="A72" s="31"/>
      <c r="B72" s="32"/>
      <c r="C72" s="32" t="s">
        <v>511</v>
      </c>
      <c r="D72" s="33" t="s">
        <v>512</v>
      </c>
      <c r="E72" s="34">
        <f>Source!AQ35</f>
        <v>5.3</v>
      </c>
      <c r="F72" s="35"/>
      <c r="G72" s="36" t="str">
        <f>Source!DI35</f>
        <v>)*1,2</v>
      </c>
      <c r="H72" s="35">
        <f>Source!U35</f>
        <v>3.1799999999999997</v>
      </c>
      <c r="I72" s="36"/>
      <c r="J72" s="35"/>
    </row>
    <row r="73" spans="1:21" ht="15" x14ac:dyDescent="0.25">
      <c r="C73" s="29" t="s">
        <v>503</v>
      </c>
      <c r="G73" s="42">
        <f>ROUND(Source!AC35*Source!I35, 2)+ROUND(Source!AF35*Source!I35, 2)+ROUND(Source!AD35*Source!I35, 2)+SUM(H69:H71)</f>
        <v>387.8</v>
      </c>
      <c r="H73" s="42"/>
      <c r="I73" s="42">
        <f>Source!P35+Source!Q35+Source!S35+SUM(J69:J71)</f>
        <v>5816.71</v>
      </c>
      <c r="J73" s="42"/>
      <c r="O73" s="30">
        <f>G73</f>
        <v>387.8</v>
      </c>
      <c r="P73" s="30">
        <f>I73</f>
        <v>5816.71</v>
      </c>
    </row>
    <row r="74" spans="1:21" ht="181.5" x14ac:dyDescent="0.2">
      <c r="A74" s="25" t="str">
        <f>Source!E37</f>
        <v>9</v>
      </c>
      <c r="B74" s="26" t="s">
        <v>519</v>
      </c>
      <c r="C74" s="26" t="s">
        <v>520</v>
      </c>
      <c r="D74" s="27" t="str">
        <f>Source!H37</f>
        <v>100 м</v>
      </c>
      <c r="E74" s="10">
        <f>Source!I37</f>
        <v>0.5</v>
      </c>
      <c r="F74" s="19"/>
      <c r="G74" s="28"/>
      <c r="H74" s="19"/>
      <c r="I74" s="28" t="str">
        <f>Source!BO37</f>
        <v>м08-02-141-04</v>
      </c>
      <c r="J74" s="19"/>
      <c r="R74">
        <f>ROUND((Source!FX37/100)*((ROUND(Source!AF37*Source!I37, 2)+ROUND(Source!AE37*Source!I37, 2))), 2)</f>
        <v>115.4</v>
      </c>
      <c r="S74">
        <f>Source!X37</f>
        <v>2541.33</v>
      </c>
      <c r="T74">
        <f>ROUND((Source!FY37/100)*((ROUND(Source!AF37*Source!I37, 2)+ROUND(Source!AE37*Source!I37, 2))), 2)</f>
        <v>78.959999999999994</v>
      </c>
      <c r="U74">
        <f>Source!Y37</f>
        <v>1631.47</v>
      </c>
    </row>
    <row r="75" spans="1:21" ht="14.25" x14ac:dyDescent="0.2">
      <c r="A75" s="25"/>
      <c r="B75" s="26"/>
      <c r="C75" s="26" t="s">
        <v>506</v>
      </c>
      <c r="D75" s="27"/>
      <c r="E75" s="10"/>
      <c r="F75" s="19">
        <f>Source!AO37</f>
        <v>169.31</v>
      </c>
      <c r="G75" s="28" t="str">
        <f>Source!DG37</f>
        <v>)*1,2</v>
      </c>
      <c r="H75" s="19">
        <f>ROUND(Source!AF37*Source!I37, 2)</f>
        <v>101.59</v>
      </c>
      <c r="I75" s="28">
        <f>IF(Source!BA37&lt;&gt; 0, Source!BA37, 1)</f>
        <v>25.83</v>
      </c>
      <c r="J75" s="19">
        <f>Source!S37</f>
        <v>2623.94</v>
      </c>
      <c r="Q75">
        <f>ROUND(Source!AF37*Source!I37, 2)</f>
        <v>101.59</v>
      </c>
    </row>
    <row r="76" spans="1:21" ht="14.25" x14ac:dyDescent="0.2">
      <c r="A76" s="25"/>
      <c r="B76" s="26"/>
      <c r="C76" s="26" t="s">
        <v>507</v>
      </c>
      <c r="D76" s="27"/>
      <c r="E76" s="10"/>
      <c r="F76" s="19">
        <f>Source!AM37</f>
        <v>265.52999999999997</v>
      </c>
      <c r="G76" s="28" t="str">
        <f>Source!DE37</f>
        <v>)*1,2</v>
      </c>
      <c r="H76" s="19">
        <f>ROUND(Source!AD37*Source!I37, 2)</f>
        <v>159.32</v>
      </c>
      <c r="I76" s="28">
        <f>IF(Source!BB37&lt;&gt; 0, Source!BB37, 1)</f>
        <v>9.67</v>
      </c>
      <c r="J76" s="19">
        <f>Source!Q37</f>
        <v>1540.62</v>
      </c>
    </row>
    <row r="77" spans="1:21" ht="14.25" x14ac:dyDescent="0.2">
      <c r="A77" s="25"/>
      <c r="B77" s="26"/>
      <c r="C77" s="26" t="s">
        <v>508</v>
      </c>
      <c r="D77" s="27"/>
      <c r="E77" s="10"/>
      <c r="F77" s="19">
        <f>Source!AN37</f>
        <v>33.130000000000003</v>
      </c>
      <c r="G77" s="28" t="str">
        <f>Source!DF37</f>
        <v>)*1,2</v>
      </c>
      <c r="H77" s="37">
        <f>ROUND(Source!AE37*Source!I37, 2)</f>
        <v>19.88</v>
      </c>
      <c r="I77" s="28">
        <f>IF(Source!BS37&lt;&gt; 0, Source!BS37, 1)</f>
        <v>25.83</v>
      </c>
      <c r="J77" s="37">
        <f>Source!R37</f>
        <v>513.5</v>
      </c>
      <c r="Q77">
        <f>ROUND(Source!AE37*Source!I37, 2)</f>
        <v>19.88</v>
      </c>
    </row>
    <row r="78" spans="1:21" ht="14.25" x14ac:dyDescent="0.2">
      <c r="A78" s="25"/>
      <c r="B78" s="26"/>
      <c r="C78" s="26" t="s">
        <v>509</v>
      </c>
      <c r="D78" s="27"/>
      <c r="E78" s="10"/>
      <c r="F78" s="19">
        <f>Source!AL37</f>
        <v>74.790000000000006</v>
      </c>
      <c r="G78" s="28" t="str">
        <f>Source!DD37</f>
        <v/>
      </c>
      <c r="H78" s="19">
        <f>ROUND(Source!AC37*Source!I37, 2)</f>
        <v>37.4</v>
      </c>
      <c r="I78" s="28">
        <f>IF(Source!BC37&lt;&gt; 0, Source!BC37, 1)</f>
        <v>6.93</v>
      </c>
      <c r="J78" s="19">
        <f>Source!P37</f>
        <v>259.14999999999998</v>
      </c>
    </row>
    <row r="79" spans="1:21" ht="57" x14ac:dyDescent="0.2">
      <c r="A79" s="25" t="str">
        <f>Source!E38</f>
        <v>9,1</v>
      </c>
      <c r="B79" s="26" t="str">
        <f>Source!F38</f>
        <v>п.6 Мониторинга цен №3-ВСЭ</v>
      </c>
      <c r="C79" s="26" t="s">
        <v>521</v>
      </c>
      <c r="D79" s="27" t="str">
        <f>Source!H38</f>
        <v>м</v>
      </c>
      <c r="E79" s="10">
        <f>Source!I38</f>
        <v>51</v>
      </c>
      <c r="F79" s="19">
        <f>Source!AK38</f>
        <v>186</v>
      </c>
      <c r="G79" s="38" t="s">
        <v>3</v>
      </c>
      <c r="H79" s="19">
        <f>ROUND(Source!AC38*Source!I38, 2)+ROUND(Source!AD38*Source!I38, 2)+ROUND(Source!AF38*Source!I38, 2)</f>
        <v>9486</v>
      </c>
      <c r="I79" s="28">
        <f>IF(Source!BC38&lt;&gt; 0, Source!BC38, 1)</f>
        <v>7.3</v>
      </c>
      <c r="J79" s="19">
        <f>Source!O38</f>
        <v>69247.8</v>
      </c>
      <c r="R79">
        <f>ROUND((Source!FX38/100)*((ROUND(Source!AF38*Source!I38, 2)+ROUND(Source!AE38*Source!I38, 2))), 2)</f>
        <v>0</v>
      </c>
      <c r="S79">
        <f>Source!X38</f>
        <v>0</v>
      </c>
      <c r="T79">
        <f>ROUND((Source!FY38/100)*((ROUND(Source!AF38*Source!I38, 2)+ROUND(Source!AE38*Source!I38, 2))), 2)</f>
        <v>0</v>
      </c>
      <c r="U79">
        <f>Source!Y38</f>
        <v>0</v>
      </c>
    </row>
    <row r="80" spans="1:21" ht="14.25" x14ac:dyDescent="0.2">
      <c r="A80" s="25"/>
      <c r="B80" s="26"/>
      <c r="C80" s="26" t="str">
        <f>CONCATENATE("НР от ФОТ [к тек. уровню ", Source!FV37, "]")</f>
        <v>НР от ФОТ [к тек. уровню *0,85]</v>
      </c>
      <c r="D80" s="27" t="s">
        <v>510</v>
      </c>
      <c r="E80" s="10">
        <f>Source!BZ37</f>
        <v>95</v>
      </c>
      <c r="F80" s="19"/>
      <c r="G80" s="28"/>
      <c r="H80" s="19">
        <f>SUM(R74:R79)</f>
        <v>115.4</v>
      </c>
      <c r="I80" s="28">
        <f>Source!AT37</f>
        <v>81</v>
      </c>
      <c r="J80" s="19">
        <f>SUM(S74:S79)</f>
        <v>2541.33</v>
      </c>
    </row>
    <row r="81" spans="1:21" ht="14.25" x14ac:dyDescent="0.2">
      <c r="A81" s="25"/>
      <c r="B81" s="26"/>
      <c r="C81" s="26" t="str">
        <f>CONCATENATE("СП от ФОТ [к тек. уровню ", Source!FW37, "]")</f>
        <v>СП от ФОТ [к тек. уровню *0,8]</v>
      </c>
      <c r="D81" s="27" t="s">
        <v>510</v>
      </c>
      <c r="E81" s="10">
        <f>Source!CA37</f>
        <v>65</v>
      </c>
      <c r="F81" s="19"/>
      <c r="G81" s="28"/>
      <c r="H81" s="19">
        <f>SUM(T74:T80)</f>
        <v>78.959999999999994</v>
      </c>
      <c r="I81" s="28">
        <f>Source!AU37</f>
        <v>52</v>
      </c>
      <c r="J81" s="19">
        <f>SUM(U74:U80)</f>
        <v>1631.47</v>
      </c>
    </row>
    <row r="82" spans="1:21" ht="14.25" x14ac:dyDescent="0.2">
      <c r="A82" s="31"/>
      <c r="B82" s="32"/>
      <c r="C82" s="32" t="s">
        <v>511</v>
      </c>
      <c r="D82" s="33" t="s">
        <v>512</v>
      </c>
      <c r="E82" s="34">
        <f>Source!AQ37</f>
        <v>17.600000000000001</v>
      </c>
      <c r="F82" s="35"/>
      <c r="G82" s="36" t="str">
        <f>Source!DI37</f>
        <v>)*1,2</v>
      </c>
      <c r="H82" s="35">
        <f>Source!U37</f>
        <v>10.56</v>
      </c>
      <c r="I82" s="36"/>
      <c r="J82" s="35"/>
    </row>
    <row r="83" spans="1:21" ht="15" x14ac:dyDescent="0.25">
      <c r="C83" s="29" t="s">
        <v>503</v>
      </c>
      <c r="G83" s="42">
        <f>ROUND(Source!AC37*Source!I37, 2)+ROUND(Source!AF37*Source!I37, 2)+ROUND(Source!AD37*Source!I37, 2)+SUM(H79:H81)</f>
        <v>9978.6699999999983</v>
      </c>
      <c r="H83" s="42"/>
      <c r="I83" s="42">
        <f>Source!P37+Source!Q37+Source!S37+SUM(J79:J81)</f>
        <v>77844.310000000012</v>
      </c>
      <c r="J83" s="42"/>
      <c r="O83" s="30">
        <f>G83</f>
        <v>9978.6699999999983</v>
      </c>
      <c r="P83" s="30">
        <f>I83</f>
        <v>77844.310000000012</v>
      </c>
    </row>
    <row r="84" spans="1:21" ht="181.5" x14ac:dyDescent="0.2">
      <c r="A84" s="25" t="str">
        <f>Source!E39</f>
        <v>10</v>
      </c>
      <c r="B84" s="26" t="s">
        <v>522</v>
      </c>
      <c r="C84" s="26" t="s">
        <v>523</v>
      </c>
      <c r="D84" s="27" t="str">
        <f>Source!H39</f>
        <v>100 м</v>
      </c>
      <c r="E84" s="10">
        <f>Source!I39</f>
        <v>0.5</v>
      </c>
      <c r="F84" s="19"/>
      <c r="G84" s="28"/>
      <c r="H84" s="19"/>
      <c r="I84" s="28" t="str">
        <f>Source!BO39</f>
        <v>м08-02-143-03</v>
      </c>
      <c r="J84" s="19"/>
      <c r="R84">
        <f>ROUND((Source!FX39/100)*((ROUND(Source!AF39*Source!I39, 2)+ROUND(Source!AE39*Source!I39, 2))), 2)</f>
        <v>58.95</v>
      </c>
      <c r="S84">
        <f>Source!X39</f>
        <v>1298.1199999999999</v>
      </c>
      <c r="T84">
        <f>ROUND((Source!FY39/100)*((ROUND(Source!AF39*Source!I39, 2)+ROUND(Source!AE39*Source!I39, 2))), 2)</f>
        <v>40.33</v>
      </c>
      <c r="U84">
        <f>Source!Y39</f>
        <v>833.36</v>
      </c>
    </row>
    <row r="85" spans="1:21" ht="14.25" x14ac:dyDescent="0.2">
      <c r="A85" s="25"/>
      <c r="B85" s="26"/>
      <c r="C85" s="26" t="s">
        <v>506</v>
      </c>
      <c r="D85" s="27"/>
      <c r="E85" s="10"/>
      <c r="F85" s="19">
        <f>Source!AO39</f>
        <v>55.22</v>
      </c>
      <c r="G85" s="28" t="str">
        <f>Source!DG39</f>
        <v>)*1,2</v>
      </c>
      <c r="H85" s="19">
        <f>ROUND(Source!AF39*Source!I39, 2)</f>
        <v>33.130000000000003</v>
      </c>
      <c r="I85" s="28">
        <f>IF(Source!BA39&lt;&gt; 0, Source!BA39, 1)</f>
        <v>25.83</v>
      </c>
      <c r="J85" s="19">
        <f>Source!S39</f>
        <v>855.75</v>
      </c>
      <c r="Q85">
        <f>ROUND(Source!AF39*Source!I39, 2)</f>
        <v>33.130000000000003</v>
      </c>
    </row>
    <row r="86" spans="1:21" ht="14.25" x14ac:dyDescent="0.2">
      <c r="A86" s="25"/>
      <c r="B86" s="26"/>
      <c r="C86" s="26" t="s">
        <v>507</v>
      </c>
      <c r="D86" s="27"/>
      <c r="E86" s="10"/>
      <c r="F86" s="19">
        <f>Source!AM39</f>
        <v>341.18</v>
      </c>
      <c r="G86" s="28" t="str">
        <f>Source!DE39</f>
        <v>)*1,2</v>
      </c>
      <c r="H86" s="19">
        <f>ROUND(Source!AD39*Source!I39, 2)</f>
        <v>204.71</v>
      </c>
      <c r="I86" s="28">
        <f>IF(Source!BB39&lt;&gt; 0, Source!BB39, 1)</f>
        <v>9.56</v>
      </c>
      <c r="J86" s="19">
        <f>Source!Q39</f>
        <v>1957.03</v>
      </c>
    </row>
    <row r="87" spans="1:21" ht="14.25" x14ac:dyDescent="0.2">
      <c r="A87" s="25"/>
      <c r="B87" s="26"/>
      <c r="C87" s="26" t="s">
        <v>508</v>
      </c>
      <c r="D87" s="27"/>
      <c r="E87" s="10"/>
      <c r="F87" s="19">
        <f>Source!AN39</f>
        <v>48.19</v>
      </c>
      <c r="G87" s="28" t="str">
        <f>Source!DF39</f>
        <v>)*1,2</v>
      </c>
      <c r="H87" s="37">
        <f>ROUND(Source!AE39*Source!I39, 2)</f>
        <v>28.92</v>
      </c>
      <c r="I87" s="28">
        <f>IF(Source!BS39&lt;&gt; 0, Source!BS39, 1)</f>
        <v>25.83</v>
      </c>
      <c r="J87" s="37">
        <f>Source!R39</f>
        <v>746.87</v>
      </c>
      <c r="Q87">
        <f>ROUND(Source!AE39*Source!I39, 2)</f>
        <v>28.92</v>
      </c>
    </row>
    <row r="88" spans="1:21" ht="14.25" x14ac:dyDescent="0.2">
      <c r="A88" s="25"/>
      <c r="B88" s="26"/>
      <c r="C88" s="26" t="s">
        <v>509</v>
      </c>
      <c r="D88" s="27"/>
      <c r="E88" s="10"/>
      <c r="F88" s="19">
        <f>Source!AL39</f>
        <v>1.1000000000000001</v>
      </c>
      <c r="G88" s="28" t="str">
        <f>Source!DD39</f>
        <v/>
      </c>
      <c r="H88" s="19">
        <f>ROUND(Source!AC39*Source!I39, 2)</f>
        <v>0.55000000000000004</v>
      </c>
      <c r="I88" s="28">
        <f>IF(Source!BC39&lt;&gt; 0, Source!BC39, 1)</f>
        <v>25.94</v>
      </c>
      <c r="J88" s="19">
        <f>Source!P39</f>
        <v>14.27</v>
      </c>
    </row>
    <row r="89" spans="1:21" ht="57" x14ac:dyDescent="0.2">
      <c r="A89" s="25" t="str">
        <f>Source!E40</f>
        <v>10,1</v>
      </c>
      <c r="B89" s="26" t="str">
        <f>Source!F40</f>
        <v>п.10 Мониторинга цен №3-ВСЭ</v>
      </c>
      <c r="C89" s="26" t="s">
        <v>524</v>
      </c>
      <c r="D89" s="27" t="str">
        <f>Source!H40</f>
        <v>шт.</v>
      </c>
      <c r="E89" s="10">
        <f>Source!I40</f>
        <v>139</v>
      </c>
      <c r="F89" s="19">
        <f>Source!AK40</f>
        <v>9.9999999999999982</v>
      </c>
      <c r="G89" s="38" t="s">
        <v>3</v>
      </c>
      <c r="H89" s="19">
        <f>ROUND(Source!AC40*Source!I40, 2)+ROUND(Source!AD40*Source!I40, 2)+ROUND(Source!AF40*Source!I40, 2)</f>
        <v>1390</v>
      </c>
      <c r="I89" s="28">
        <f>IF(Source!BC40&lt;&gt; 0, Source!BC40, 1)</f>
        <v>7.3</v>
      </c>
      <c r="J89" s="19">
        <f>Source!O40</f>
        <v>10147</v>
      </c>
      <c r="R89">
        <f>ROUND((Source!FX40/100)*((ROUND(Source!AF40*Source!I40, 2)+ROUND(Source!AE40*Source!I40, 2))), 2)</f>
        <v>0</v>
      </c>
      <c r="S89">
        <f>Source!X40</f>
        <v>0</v>
      </c>
      <c r="T89">
        <f>ROUND((Source!FY40/100)*((ROUND(Source!AF40*Source!I40, 2)+ROUND(Source!AE40*Source!I40, 2))), 2)</f>
        <v>0</v>
      </c>
      <c r="U89">
        <f>Source!Y40</f>
        <v>0</v>
      </c>
    </row>
    <row r="90" spans="1:21" ht="14.25" x14ac:dyDescent="0.2">
      <c r="A90" s="25"/>
      <c r="B90" s="26"/>
      <c r="C90" s="26" t="str">
        <f>CONCATENATE("НР от ФОТ [к тек. уровню ", Source!FV39, "]")</f>
        <v>НР от ФОТ [к тек. уровню *0,85]</v>
      </c>
      <c r="D90" s="27" t="s">
        <v>510</v>
      </c>
      <c r="E90" s="10">
        <f>Source!BZ39</f>
        <v>95</v>
      </c>
      <c r="F90" s="19"/>
      <c r="G90" s="28"/>
      <c r="H90" s="19">
        <f>SUM(R84:R89)</f>
        <v>58.95</v>
      </c>
      <c r="I90" s="28">
        <f>Source!AT39</f>
        <v>81</v>
      </c>
      <c r="J90" s="19">
        <f>SUM(S84:S89)</f>
        <v>1298.1199999999999</v>
      </c>
    </row>
    <row r="91" spans="1:21" ht="14.25" x14ac:dyDescent="0.2">
      <c r="A91" s="25"/>
      <c r="B91" s="26"/>
      <c r="C91" s="26" t="str">
        <f>CONCATENATE("СП от ФОТ [к тек. уровню ", Source!FW39, "]")</f>
        <v>СП от ФОТ [к тек. уровню *0,8]</v>
      </c>
      <c r="D91" s="27" t="s">
        <v>510</v>
      </c>
      <c r="E91" s="10">
        <f>Source!CA39</f>
        <v>65</v>
      </c>
      <c r="F91" s="19"/>
      <c r="G91" s="28"/>
      <c r="H91" s="19">
        <f>SUM(T84:T90)</f>
        <v>40.33</v>
      </c>
      <c r="I91" s="28">
        <f>Source!AU39</f>
        <v>52</v>
      </c>
      <c r="J91" s="19">
        <f>SUM(U84:U90)</f>
        <v>833.36</v>
      </c>
    </row>
    <row r="92" spans="1:21" ht="14.25" x14ac:dyDescent="0.2">
      <c r="A92" s="31"/>
      <c r="B92" s="32"/>
      <c r="C92" s="32" t="s">
        <v>511</v>
      </c>
      <c r="D92" s="33" t="s">
        <v>512</v>
      </c>
      <c r="E92" s="34">
        <f>Source!AQ39</f>
        <v>5.74</v>
      </c>
      <c r="F92" s="35"/>
      <c r="G92" s="36" t="str">
        <f>Source!DI39</f>
        <v>)*1,2</v>
      </c>
      <c r="H92" s="35">
        <f>Source!U39</f>
        <v>3.444</v>
      </c>
      <c r="I92" s="36"/>
      <c r="J92" s="35"/>
    </row>
    <row r="93" spans="1:21" ht="15" x14ac:dyDescent="0.25">
      <c r="C93" s="29" t="s">
        <v>503</v>
      </c>
      <c r="G93" s="42">
        <f>ROUND(Source!AC39*Source!I39, 2)+ROUND(Source!AF39*Source!I39, 2)+ROUND(Source!AD39*Source!I39, 2)+SUM(H89:H91)</f>
        <v>1727.67</v>
      </c>
      <c r="H93" s="42"/>
      <c r="I93" s="42">
        <f>Source!P39+Source!Q39+Source!S39+SUM(J89:J91)</f>
        <v>15105.529999999999</v>
      </c>
      <c r="J93" s="42"/>
      <c r="O93" s="30">
        <f>G93</f>
        <v>1727.67</v>
      </c>
      <c r="P93" s="30">
        <f>I93</f>
        <v>15105.529999999999</v>
      </c>
    </row>
    <row r="94" spans="1:21" ht="181.5" x14ac:dyDescent="0.2">
      <c r="A94" s="25" t="str">
        <f>Source!E41</f>
        <v>11</v>
      </c>
      <c r="B94" s="26" t="s">
        <v>525</v>
      </c>
      <c r="C94" s="26" t="s">
        <v>526</v>
      </c>
      <c r="D94" s="27" t="str">
        <f>Source!H41</f>
        <v>100 м3</v>
      </c>
      <c r="E94" s="10">
        <f>Source!I41</f>
        <v>0.02</v>
      </c>
      <c r="F94" s="19"/>
      <c r="G94" s="28"/>
      <c r="H94" s="19"/>
      <c r="I94" s="28" t="str">
        <f>Source!BO41</f>
        <v>01-02-061-02</v>
      </c>
      <c r="J94" s="19"/>
      <c r="R94">
        <f>ROUND((Source!FX41/100)*((ROUND(Source!AF41*Source!I41, 2)+ROUND(Source!AE41*Source!I41, 2))), 2)</f>
        <v>14</v>
      </c>
      <c r="S94">
        <f>Source!X41</f>
        <v>307.31</v>
      </c>
      <c r="T94">
        <f>ROUND((Source!FY41/100)*((ROUND(Source!AF41*Source!I41, 2)+ROUND(Source!AE41*Source!I41, 2))), 2)</f>
        <v>7.88</v>
      </c>
      <c r="U94">
        <f>Source!Y41</f>
        <v>162.69</v>
      </c>
    </row>
    <row r="95" spans="1:21" ht="14.25" x14ac:dyDescent="0.2">
      <c r="A95" s="25"/>
      <c r="B95" s="26"/>
      <c r="C95" s="26" t="s">
        <v>506</v>
      </c>
      <c r="D95" s="27"/>
      <c r="E95" s="10"/>
      <c r="F95" s="19">
        <f>Source!AO41</f>
        <v>729</v>
      </c>
      <c r="G95" s="28" t="str">
        <f>Source!DG41</f>
        <v>)*1,2</v>
      </c>
      <c r="H95" s="19">
        <f>ROUND(Source!AF41*Source!I41, 2)</f>
        <v>17.5</v>
      </c>
      <c r="I95" s="28">
        <f>IF(Source!BA41&lt;&gt; 0, Source!BA41, 1)</f>
        <v>25.83</v>
      </c>
      <c r="J95" s="19">
        <f>Source!S41</f>
        <v>451.92</v>
      </c>
      <c r="Q95">
        <f>ROUND(Source!AF41*Source!I41, 2)</f>
        <v>17.5</v>
      </c>
    </row>
    <row r="96" spans="1:21" ht="28.5" x14ac:dyDescent="0.2">
      <c r="A96" s="25" t="str">
        <f>Source!E42</f>
        <v>11,1</v>
      </c>
      <c r="B96" s="26" t="str">
        <f>Source!F42</f>
        <v>02.3.01.02-0015</v>
      </c>
      <c r="C96" s="26" t="str">
        <f>Source!G42</f>
        <v>Песок природный для строительных работ средний</v>
      </c>
      <c r="D96" s="27" t="str">
        <f>Source!H42</f>
        <v>м3</v>
      </c>
      <c r="E96" s="10">
        <f>Source!I42</f>
        <v>2</v>
      </c>
      <c r="F96" s="19">
        <f>Source!AK42</f>
        <v>55.26</v>
      </c>
      <c r="G96" s="38" t="s">
        <v>3</v>
      </c>
      <c r="H96" s="19">
        <f>ROUND(Source!AC42*Source!I42, 2)+ROUND(Source!AD42*Source!I42, 2)+ROUND(Source!AF42*Source!I42, 2)</f>
        <v>110.52</v>
      </c>
      <c r="I96" s="28">
        <f>IF(Source!BC42&lt;&gt; 0, Source!BC42, 1)</f>
        <v>10.3</v>
      </c>
      <c r="J96" s="19">
        <f>Source!O42</f>
        <v>1138.3599999999999</v>
      </c>
      <c r="R96">
        <f>ROUND((Source!FX42/100)*((ROUND(Source!AF42*Source!I42, 2)+ROUND(Source!AE42*Source!I42, 2))), 2)</f>
        <v>0</v>
      </c>
      <c r="S96">
        <f>Source!X42</f>
        <v>0</v>
      </c>
      <c r="T96">
        <f>ROUND((Source!FY42/100)*((ROUND(Source!AF42*Source!I42, 2)+ROUND(Source!AE42*Source!I42, 2))), 2)</f>
        <v>0</v>
      </c>
      <c r="U96">
        <f>Source!Y42</f>
        <v>0</v>
      </c>
    </row>
    <row r="97" spans="1:21" ht="14.25" x14ac:dyDescent="0.2">
      <c r="A97" s="25"/>
      <c r="B97" s="26"/>
      <c r="C97" s="26" t="str">
        <f>CONCATENATE("НР от ФОТ [к тек. уровню ", Source!FV41, "]")</f>
        <v>НР от ФОТ [к тек. уровню *0,85]</v>
      </c>
      <c r="D97" s="27" t="s">
        <v>510</v>
      </c>
      <c r="E97" s="10">
        <f>Source!BZ41</f>
        <v>80</v>
      </c>
      <c r="F97" s="19"/>
      <c r="G97" s="28"/>
      <c r="H97" s="19">
        <f>SUM(R94:R96)</f>
        <v>14</v>
      </c>
      <c r="I97" s="28">
        <f>Source!AT41</f>
        <v>68</v>
      </c>
      <c r="J97" s="19">
        <f>SUM(S94:S96)</f>
        <v>307.31</v>
      </c>
    </row>
    <row r="98" spans="1:21" ht="14.25" x14ac:dyDescent="0.2">
      <c r="A98" s="25"/>
      <c r="B98" s="26"/>
      <c r="C98" s="26" t="str">
        <f>CONCATENATE("СП от ФОТ [к тек. уровню ", Source!FW41, "]")</f>
        <v>СП от ФОТ [к тек. уровню *0,8]</v>
      </c>
      <c r="D98" s="27" t="s">
        <v>510</v>
      </c>
      <c r="E98" s="10">
        <f>Source!CA41</f>
        <v>45</v>
      </c>
      <c r="F98" s="19"/>
      <c r="G98" s="28"/>
      <c r="H98" s="19">
        <f>SUM(T94:T97)</f>
        <v>7.88</v>
      </c>
      <c r="I98" s="28">
        <f>Source!AU41</f>
        <v>36</v>
      </c>
      <c r="J98" s="19">
        <f>SUM(U94:U97)</f>
        <v>162.69</v>
      </c>
    </row>
    <row r="99" spans="1:21" ht="14.25" x14ac:dyDescent="0.2">
      <c r="A99" s="31"/>
      <c r="B99" s="32"/>
      <c r="C99" s="32" t="s">
        <v>511</v>
      </c>
      <c r="D99" s="33" t="s">
        <v>512</v>
      </c>
      <c r="E99" s="34">
        <f>Source!AQ41</f>
        <v>97.2</v>
      </c>
      <c r="F99" s="35"/>
      <c r="G99" s="36" t="str">
        <f>Source!DI41</f>
        <v>)*1,2</v>
      </c>
      <c r="H99" s="35">
        <f>Source!U41</f>
        <v>2.3328000000000002</v>
      </c>
      <c r="I99" s="36"/>
      <c r="J99" s="35"/>
    </row>
    <row r="100" spans="1:21" ht="15" x14ac:dyDescent="0.25">
      <c r="C100" s="29" t="s">
        <v>503</v>
      </c>
      <c r="G100" s="42">
        <f>ROUND(Source!AC41*Source!I41, 2)+ROUND(Source!AF41*Source!I41, 2)+ROUND(Source!AD41*Source!I41, 2)+SUM(H96:H98)</f>
        <v>149.9</v>
      </c>
      <c r="H100" s="42"/>
      <c r="I100" s="42">
        <f>Source!P41+Source!Q41+Source!S41+SUM(J96:J98)</f>
        <v>2060.2799999999997</v>
      </c>
      <c r="J100" s="42"/>
      <c r="O100" s="30">
        <f>G100</f>
        <v>149.9</v>
      </c>
      <c r="P100" s="30">
        <f>I100</f>
        <v>2060.2799999999997</v>
      </c>
    </row>
    <row r="101" spans="1:21" ht="210" x14ac:dyDescent="0.2">
      <c r="A101" s="25" t="str">
        <f>Source!E43</f>
        <v>12</v>
      </c>
      <c r="B101" s="26" t="s">
        <v>527</v>
      </c>
      <c r="C101" s="26" t="s">
        <v>528</v>
      </c>
      <c r="D101" s="27" t="str">
        <f>Source!H43</f>
        <v>100 м</v>
      </c>
      <c r="E101" s="10">
        <f>Source!I43</f>
        <v>0.5</v>
      </c>
      <c r="F101" s="19"/>
      <c r="G101" s="28"/>
      <c r="H101" s="19"/>
      <c r="I101" s="28" t="str">
        <f>Source!BO43</f>
        <v>м08-02-147-13</v>
      </c>
      <c r="J101" s="19"/>
      <c r="R101">
        <f>ROUND((Source!FX43/100)*((ROUND(Source!AF43*Source!I43, 2)+ROUND(Source!AE43*Source!I43, 2))), 2)</f>
        <v>166.49</v>
      </c>
      <c r="S101">
        <f>Source!X43</f>
        <v>3666.53</v>
      </c>
      <c r="T101">
        <f>ROUND((Source!FY43/100)*((ROUND(Source!AF43*Source!I43, 2)+ROUND(Source!AE43*Source!I43, 2))), 2)</f>
        <v>113.91</v>
      </c>
      <c r="U101">
        <f>Source!Y43</f>
        <v>2353.8200000000002</v>
      </c>
    </row>
    <row r="102" spans="1:21" ht="14.25" x14ac:dyDescent="0.2">
      <c r="A102" s="25"/>
      <c r="B102" s="26"/>
      <c r="C102" s="26" t="s">
        <v>506</v>
      </c>
      <c r="D102" s="27"/>
      <c r="E102" s="10"/>
      <c r="F102" s="19">
        <f>Source!AO43</f>
        <v>287.06</v>
      </c>
      <c r="G102" s="28" t="str">
        <f>Source!DG43</f>
        <v>)*1,2</v>
      </c>
      <c r="H102" s="19">
        <f>ROUND(Source!AF43*Source!I43, 2)</f>
        <v>172.24</v>
      </c>
      <c r="I102" s="28">
        <f>IF(Source!BA43&lt;&gt; 0, Source!BA43, 1)</f>
        <v>25.83</v>
      </c>
      <c r="J102" s="19">
        <f>Source!S43</f>
        <v>4448.83</v>
      </c>
      <c r="Q102">
        <f>ROUND(Source!AF43*Source!I43, 2)</f>
        <v>172.24</v>
      </c>
    </row>
    <row r="103" spans="1:21" ht="14.25" x14ac:dyDescent="0.2">
      <c r="A103" s="25"/>
      <c r="B103" s="26"/>
      <c r="C103" s="26" t="s">
        <v>507</v>
      </c>
      <c r="D103" s="27"/>
      <c r="E103" s="10"/>
      <c r="F103" s="19">
        <f>Source!AM43</f>
        <v>89.36</v>
      </c>
      <c r="G103" s="28" t="str">
        <f>Source!DE43</f>
        <v>)*1,2</v>
      </c>
      <c r="H103" s="19">
        <f>ROUND(Source!AD43*Source!I43, 2)</f>
        <v>53.62</v>
      </c>
      <c r="I103" s="28">
        <f>IF(Source!BB43&lt;&gt; 0, Source!BB43, 1)</f>
        <v>10.119999999999999</v>
      </c>
      <c r="J103" s="19">
        <f>Source!Q43</f>
        <v>542.58000000000004</v>
      </c>
    </row>
    <row r="104" spans="1:21" ht="14.25" x14ac:dyDescent="0.2">
      <c r="A104" s="25"/>
      <c r="B104" s="26"/>
      <c r="C104" s="26" t="s">
        <v>508</v>
      </c>
      <c r="D104" s="27"/>
      <c r="E104" s="10"/>
      <c r="F104" s="19">
        <f>Source!AN43</f>
        <v>5.0199999999999996</v>
      </c>
      <c r="G104" s="28" t="str">
        <f>Source!DF43</f>
        <v>)*1,2</v>
      </c>
      <c r="H104" s="37">
        <f>ROUND(Source!AE43*Source!I43, 2)</f>
        <v>3.01</v>
      </c>
      <c r="I104" s="28">
        <f>IF(Source!BS43&lt;&gt; 0, Source!BS43, 1)</f>
        <v>25.83</v>
      </c>
      <c r="J104" s="37">
        <f>Source!R43</f>
        <v>77.75</v>
      </c>
      <c r="Q104">
        <f>ROUND(Source!AE43*Source!I43, 2)</f>
        <v>3.01</v>
      </c>
    </row>
    <row r="105" spans="1:21" ht="14.25" x14ac:dyDescent="0.2">
      <c r="A105" s="25"/>
      <c r="B105" s="26"/>
      <c r="C105" s="26" t="s">
        <v>509</v>
      </c>
      <c r="D105" s="27"/>
      <c r="E105" s="10"/>
      <c r="F105" s="19">
        <f>Source!AL43</f>
        <v>39.04</v>
      </c>
      <c r="G105" s="28" t="str">
        <f>Source!DD43</f>
        <v/>
      </c>
      <c r="H105" s="19">
        <f>ROUND(Source!AC43*Source!I43, 2)</f>
        <v>19.52</v>
      </c>
      <c r="I105" s="28">
        <f>IF(Source!BC43&lt;&gt; 0, Source!BC43, 1)</f>
        <v>10.8</v>
      </c>
      <c r="J105" s="19">
        <f>Source!P43</f>
        <v>210.82</v>
      </c>
    </row>
    <row r="106" spans="1:21" ht="57" x14ac:dyDescent="0.2">
      <c r="A106" s="25" t="str">
        <f>Source!E44</f>
        <v>12,1</v>
      </c>
      <c r="B106" s="26" t="str">
        <f>Source!F44</f>
        <v>п.6 Мониторинга цен №3-ВСЭ</v>
      </c>
      <c r="C106" s="26" t="s">
        <v>521</v>
      </c>
      <c r="D106" s="27" t="str">
        <f>Source!H44</f>
        <v>м</v>
      </c>
      <c r="E106" s="10">
        <f>Source!I44</f>
        <v>51</v>
      </c>
      <c r="F106" s="19">
        <f>Source!AK44</f>
        <v>186</v>
      </c>
      <c r="G106" s="38" t="s">
        <v>3</v>
      </c>
      <c r="H106" s="19">
        <f>ROUND(Source!AC44*Source!I44, 2)+ROUND(Source!AD44*Source!I44, 2)+ROUND(Source!AF44*Source!I44, 2)</f>
        <v>9486</v>
      </c>
      <c r="I106" s="28">
        <f>IF(Source!BC44&lt;&gt; 0, Source!BC44, 1)</f>
        <v>7.3</v>
      </c>
      <c r="J106" s="19">
        <f>Source!O44</f>
        <v>69247.8</v>
      </c>
      <c r="R106">
        <f>ROUND((Source!FX44/100)*((ROUND(Source!AF44*Source!I44, 2)+ROUND(Source!AE44*Source!I44, 2))), 2)</f>
        <v>0</v>
      </c>
      <c r="S106">
        <f>Source!X44</f>
        <v>0</v>
      </c>
      <c r="T106">
        <f>ROUND((Source!FY44/100)*((ROUND(Source!AF44*Source!I44, 2)+ROUND(Source!AE44*Source!I44, 2))), 2)</f>
        <v>0</v>
      </c>
      <c r="U106">
        <f>Source!Y44</f>
        <v>0</v>
      </c>
    </row>
    <row r="107" spans="1:21" ht="14.25" x14ac:dyDescent="0.2">
      <c r="A107" s="25"/>
      <c r="B107" s="26"/>
      <c r="C107" s="26" t="str">
        <f>CONCATENATE("НР от ФОТ [к тек. уровню ", Source!FV43, "]")</f>
        <v>НР от ФОТ [к тек. уровню *0,85]</v>
      </c>
      <c r="D107" s="27" t="s">
        <v>510</v>
      </c>
      <c r="E107" s="10">
        <f>Source!BZ43</f>
        <v>95</v>
      </c>
      <c r="F107" s="19"/>
      <c r="G107" s="28"/>
      <c r="H107" s="19">
        <f>SUM(R101:R106)</f>
        <v>166.49</v>
      </c>
      <c r="I107" s="28">
        <f>Source!AT43</f>
        <v>81</v>
      </c>
      <c r="J107" s="19">
        <f>SUM(S101:S106)</f>
        <v>3666.53</v>
      </c>
    </row>
    <row r="108" spans="1:21" ht="14.25" x14ac:dyDescent="0.2">
      <c r="A108" s="25"/>
      <c r="B108" s="26"/>
      <c r="C108" s="26" t="str">
        <f>CONCATENATE("СП от ФОТ [к тек. уровню ", Source!FW43, "]")</f>
        <v>СП от ФОТ [к тек. уровню *0,8]</v>
      </c>
      <c r="D108" s="27" t="s">
        <v>510</v>
      </c>
      <c r="E108" s="10">
        <f>Source!CA43</f>
        <v>65</v>
      </c>
      <c r="F108" s="19"/>
      <c r="G108" s="28"/>
      <c r="H108" s="19">
        <f>SUM(T101:T107)</f>
        <v>113.91</v>
      </c>
      <c r="I108" s="28">
        <f>Source!AU43</f>
        <v>52</v>
      </c>
      <c r="J108" s="19">
        <f>SUM(U101:U107)</f>
        <v>2353.8200000000002</v>
      </c>
    </row>
    <row r="109" spans="1:21" ht="14.25" x14ac:dyDescent="0.2">
      <c r="A109" s="31"/>
      <c r="B109" s="32"/>
      <c r="C109" s="32" t="s">
        <v>511</v>
      </c>
      <c r="D109" s="33" t="s">
        <v>512</v>
      </c>
      <c r="E109" s="34">
        <f>Source!AQ43</f>
        <v>29.84</v>
      </c>
      <c r="F109" s="35"/>
      <c r="G109" s="36" t="str">
        <f>Source!DI43</f>
        <v>)*1,2</v>
      </c>
      <c r="H109" s="35">
        <f>Source!U43</f>
        <v>17.904</v>
      </c>
      <c r="I109" s="36"/>
      <c r="J109" s="35"/>
    </row>
    <row r="110" spans="1:21" ht="15" x14ac:dyDescent="0.25">
      <c r="C110" s="29" t="s">
        <v>503</v>
      </c>
      <c r="G110" s="42">
        <f>ROUND(Source!AC43*Source!I43, 2)+ROUND(Source!AF43*Source!I43, 2)+ROUND(Source!AD43*Source!I43, 2)+SUM(H106:H108)</f>
        <v>10011.779999999999</v>
      </c>
      <c r="H110" s="42"/>
      <c r="I110" s="42">
        <f>Source!P43+Source!Q43+Source!S43+SUM(J106:J108)</f>
        <v>80470.38</v>
      </c>
      <c r="J110" s="42"/>
      <c r="O110" s="30">
        <f>G110</f>
        <v>10011.779999999999</v>
      </c>
      <c r="P110" s="30">
        <f>I110</f>
        <v>80470.38</v>
      </c>
    </row>
    <row r="111" spans="1:21" ht="210" x14ac:dyDescent="0.2">
      <c r="A111" s="25" t="str">
        <f>Source!E45</f>
        <v>13</v>
      </c>
      <c r="B111" s="26" t="s">
        <v>529</v>
      </c>
      <c r="C111" s="26" t="s">
        <v>530</v>
      </c>
      <c r="D111" s="27" t="str">
        <f>Source!H45</f>
        <v>ШТ</v>
      </c>
      <c r="E111" s="10">
        <f>Source!I45</f>
        <v>1</v>
      </c>
      <c r="F111" s="19"/>
      <c r="G111" s="28"/>
      <c r="H111" s="19"/>
      <c r="I111" s="28" t="str">
        <f>Source!BO45</f>
        <v>м08-02-159-02</v>
      </c>
      <c r="J111" s="19"/>
      <c r="R111">
        <f>ROUND((Source!FX45/100)*((ROUND(Source!AF45*Source!I45, 2)+ROUND(Source!AE45*Source!I45, 2))), 2)</f>
        <v>20.84</v>
      </c>
      <c r="S111">
        <f>Source!X45</f>
        <v>459.04</v>
      </c>
      <c r="T111">
        <f>ROUND((Source!FY45/100)*((ROUND(Source!AF45*Source!I45, 2)+ROUND(Source!AE45*Source!I45, 2))), 2)</f>
        <v>14.26</v>
      </c>
      <c r="U111">
        <f>Source!Y45</f>
        <v>294.69</v>
      </c>
    </row>
    <row r="112" spans="1:21" ht="14.25" x14ac:dyDescent="0.2">
      <c r="A112" s="25"/>
      <c r="B112" s="26"/>
      <c r="C112" s="26" t="s">
        <v>506</v>
      </c>
      <c r="D112" s="27"/>
      <c r="E112" s="10"/>
      <c r="F112" s="19">
        <f>Source!AO45</f>
        <v>18.28</v>
      </c>
      <c r="G112" s="28" t="str">
        <f>Source!DG45</f>
        <v>)*1,2</v>
      </c>
      <c r="H112" s="19">
        <f>ROUND(Source!AF45*Source!I45, 2)</f>
        <v>21.94</v>
      </c>
      <c r="I112" s="28">
        <f>IF(Source!BA45&lt;&gt; 0, Source!BA45, 1)</f>
        <v>25.83</v>
      </c>
      <c r="J112" s="19">
        <f>Source!S45</f>
        <v>566.71</v>
      </c>
      <c r="Q112">
        <f>ROUND(Source!AF45*Source!I45, 2)</f>
        <v>21.94</v>
      </c>
    </row>
    <row r="113" spans="1:21" ht="14.25" x14ac:dyDescent="0.2">
      <c r="A113" s="25"/>
      <c r="B113" s="26"/>
      <c r="C113" s="26" t="s">
        <v>509</v>
      </c>
      <c r="D113" s="27"/>
      <c r="E113" s="10"/>
      <c r="F113" s="19">
        <f>Source!AL45</f>
        <v>5.24</v>
      </c>
      <c r="G113" s="28" t="str">
        <f>Source!DD45</f>
        <v/>
      </c>
      <c r="H113" s="19">
        <f>ROUND(Source!AC45*Source!I45, 2)</f>
        <v>5.24</v>
      </c>
      <c r="I113" s="28">
        <f>IF(Source!BC45&lt;&gt; 0, Source!BC45, 1)</f>
        <v>13.49</v>
      </c>
      <c r="J113" s="19">
        <f>Source!P45</f>
        <v>70.69</v>
      </c>
    </row>
    <row r="114" spans="1:21" ht="57" x14ac:dyDescent="0.2">
      <c r="A114" s="25" t="str">
        <f>Source!E46</f>
        <v>13,1</v>
      </c>
      <c r="B114" s="26" t="str">
        <f>Source!F46</f>
        <v>п.3 Мониторинга цен №3-ВСЭ</v>
      </c>
      <c r="C114" s="26" t="s">
        <v>531</v>
      </c>
      <c r="D114" s="27" t="str">
        <f>Source!H46</f>
        <v>ШТ</v>
      </c>
      <c r="E114" s="10">
        <f>Source!I46</f>
        <v>1</v>
      </c>
      <c r="F114" s="19">
        <f>Source!AK46</f>
        <v>309.28999999999996</v>
      </c>
      <c r="G114" s="38" t="s">
        <v>3</v>
      </c>
      <c r="H114" s="19">
        <f>ROUND(Source!AC46*Source!I46, 2)+ROUND(Source!AD46*Source!I46, 2)+ROUND(Source!AF46*Source!I46, 2)</f>
        <v>309.29000000000002</v>
      </c>
      <c r="I114" s="28">
        <f>IF(Source!BC46&lt;&gt; 0, Source!BC46, 1)</f>
        <v>7.3</v>
      </c>
      <c r="J114" s="19">
        <f>Source!O46</f>
        <v>2257.8200000000002</v>
      </c>
      <c r="R114">
        <f>ROUND((Source!FX46/100)*((ROUND(Source!AF46*Source!I46, 2)+ROUND(Source!AE46*Source!I46, 2))), 2)</f>
        <v>0</v>
      </c>
      <c r="S114">
        <f>Source!X46</f>
        <v>0</v>
      </c>
      <c r="T114">
        <f>ROUND((Source!FY46/100)*((ROUND(Source!AF46*Source!I46, 2)+ROUND(Source!AE46*Source!I46, 2))), 2)</f>
        <v>0</v>
      </c>
      <c r="U114">
        <f>Source!Y46</f>
        <v>0</v>
      </c>
    </row>
    <row r="115" spans="1:21" ht="14.25" x14ac:dyDescent="0.2">
      <c r="A115" s="25"/>
      <c r="B115" s="26"/>
      <c r="C115" s="26" t="str">
        <f>CONCATENATE("НР от ФОТ [к тек. уровню ", Source!FV45, "]")</f>
        <v>НР от ФОТ [к тек. уровню *0,85]</v>
      </c>
      <c r="D115" s="27" t="s">
        <v>510</v>
      </c>
      <c r="E115" s="10">
        <f>Source!BZ45</f>
        <v>95</v>
      </c>
      <c r="F115" s="19"/>
      <c r="G115" s="28"/>
      <c r="H115" s="19">
        <f>SUM(R111:R114)</f>
        <v>20.84</v>
      </c>
      <c r="I115" s="28">
        <f>Source!AT45</f>
        <v>81</v>
      </c>
      <c r="J115" s="19">
        <f>SUM(S111:S114)</f>
        <v>459.04</v>
      </c>
    </row>
    <row r="116" spans="1:21" ht="14.25" x14ac:dyDescent="0.2">
      <c r="A116" s="25"/>
      <c r="B116" s="26"/>
      <c r="C116" s="26" t="str">
        <f>CONCATENATE("СП от ФОТ [к тек. уровню ", Source!FW45, "]")</f>
        <v>СП от ФОТ [к тек. уровню *0,8]</v>
      </c>
      <c r="D116" s="27" t="s">
        <v>510</v>
      </c>
      <c r="E116" s="10">
        <f>Source!CA45</f>
        <v>65</v>
      </c>
      <c r="F116" s="19"/>
      <c r="G116" s="28"/>
      <c r="H116" s="19">
        <f>SUM(T111:T115)</f>
        <v>14.26</v>
      </c>
      <c r="I116" s="28">
        <f>Source!AU45</f>
        <v>52</v>
      </c>
      <c r="J116" s="19">
        <f>SUM(U111:U115)</f>
        <v>294.69</v>
      </c>
    </row>
    <row r="117" spans="1:21" ht="14.25" x14ac:dyDescent="0.2">
      <c r="A117" s="31"/>
      <c r="B117" s="32"/>
      <c r="C117" s="32" t="s">
        <v>511</v>
      </c>
      <c r="D117" s="33" t="s">
        <v>512</v>
      </c>
      <c r="E117" s="34">
        <f>Source!AQ45</f>
        <v>1.9</v>
      </c>
      <c r="F117" s="35"/>
      <c r="G117" s="36" t="str">
        <f>Source!DI45</f>
        <v>)*1,2</v>
      </c>
      <c r="H117" s="35">
        <f>Source!U45</f>
        <v>2.2799999999999998</v>
      </c>
      <c r="I117" s="36"/>
      <c r="J117" s="35"/>
    </row>
    <row r="118" spans="1:21" ht="15" x14ac:dyDescent="0.25">
      <c r="C118" s="29" t="s">
        <v>503</v>
      </c>
      <c r="G118" s="42">
        <f>ROUND(Source!AC45*Source!I45, 2)+ROUND(Source!AF45*Source!I45, 2)+ROUND(Source!AD45*Source!I45, 2)+SUM(H114:H116)</f>
        <v>371.57</v>
      </c>
      <c r="H118" s="42"/>
      <c r="I118" s="42">
        <f>Source!P45+Source!Q45+Source!S45+SUM(J114:J116)</f>
        <v>3648.9500000000003</v>
      </c>
      <c r="J118" s="42"/>
      <c r="O118" s="30">
        <f>G118</f>
        <v>371.57</v>
      </c>
      <c r="P118" s="30">
        <f>I118</f>
        <v>3648.9500000000003</v>
      </c>
    </row>
    <row r="119" spans="1:21" ht="210" x14ac:dyDescent="0.2">
      <c r="A119" s="25" t="str">
        <f>Source!E47</f>
        <v>14</v>
      </c>
      <c r="B119" s="26" t="s">
        <v>532</v>
      </c>
      <c r="C119" s="26" t="s">
        <v>533</v>
      </c>
      <c r="D119" s="27" t="str">
        <f>Source!H47</f>
        <v>ШТ</v>
      </c>
      <c r="E119" s="10">
        <f>Source!I47</f>
        <v>1</v>
      </c>
      <c r="F119" s="19"/>
      <c r="G119" s="28"/>
      <c r="H119" s="19"/>
      <c r="I119" s="28" t="str">
        <f>Source!BO47</f>
        <v>м08-02-167-02</v>
      </c>
      <c r="J119" s="19"/>
      <c r="R119">
        <f>ROUND((Source!FX47/100)*((ROUND(Source!AF47*Source!I47, 2)+ROUND(Source!AE47*Source!I47, 2))), 2)</f>
        <v>68.510000000000005</v>
      </c>
      <c r="S119">
        <f>Source!X47</f>
        <v>1508.92</v>
      </c>
      <c r="T119">
        <f>ROUND((Source!FY47/100)*((ROUND(Source!AF47*Source!I47, 2)+ROUND(Source!AE47*Source!I47, 2))), 2)</f>
        <v>46.88</v>
      </c>
      <c r="U119">
        <f>Source!Y47</f>
        <v>968.69</v>
      </c>
    </row>
    <row r="120" spans="1:21" ht="14.25" x14ac:dyDescent="0.2">
      <c r="A120" s="25"/>
      <c r="B120" s="26"/>
      <c r="C120" s="26" t="s">
        <v>506</v>
      </c>
      <c r="D120" s="27"/>
      <c r="E120" s="10"/>
      <c r="F120" s="19">
        <f>Source!AO47</f>
        <v>59.84</v>
      </c>
      <c r="G120" s="28" t="str">
        <f>Source!DG47</f>
        <v>)*1,2</v>
      </c>
      <c r="H120" s="19">
        <f>ROUND(Source!AF47*Source!I47, 2)</f>
        <v>71.81</v>
      </c>
      <c r="I120" s="28">
        <f>IF(Source!BA47&lt;&gt; 0, Source!BA47, 1)</f>
        <v>25.83</v>
      </c>
      <c r="J120" s="19">
        <f>Source!S47</f>
        <v>1854.85</v>
      </c>
      <c r="Q120">
        <f>ROUND(Source!AF47*Source!I47, 2)</f>
        <v>71.81</v>
      </c>
    </row>
    <row r="121" spans="1:21" ht="14.25" x14ac:dyDescent="0.2">
      <c r="A121" s="25"/>
      <c r="B121" s="26"/>
      <c r="C121" s="26" t="s">
        <v>507</v>
      </c>
      <c r="D121" s="27"/>
      <c r="E121" s="10"/>
      <c r="F121" s="19">
        <f>Source!AM47</f>
        <v>1.78</v>
      </c>
      <c r="G121" s="28" t="str">
        <f>Source!DE47</f>
        <v>)*1,2</v>
      </c>
      <c r="H121" s="19">
        <f>ROUND(Source!AD47*Source!I47, 2)</f>
        <v>2.13</v>
      </c>
      <c r="I121" s="28">
        <f>IF(Source!BB47&lt;&gt; 0, Source!BB47, 1)</f>
        <v>9.5399999999999991</v>
      </c>
      <c r="J121" s="19">
        <f>Source!Q47</f>
        <v>20.32</v>
      </c>
    </row>
    <row r="122" spans="1:21" ht="14.25" x14ac:dyDescent="0.2">
      <c r="A122" s="25"/>
      <c r="B122" s="26"/>
      <c r="C122" s="26" t="s">
        <v>508</v>
      </c>
      <c r="D122" s="27"/>
      <c r="E122" s="10"/>
      <c r="F122" s="19">
        <f>Source!AN47</f>
        <v>0.26</v>
      </c>
      <c r="G122" s="28" t="str">
        <f>Source!DF47</f>
        <v>)*1,2</v>
      </c>
      <c r="H122" s="37">
        <f>ROUND(Source!AE47*Source!I47, 2)</f>
        <v>0.31</v>
      </c>
      <c r="I122" s="28">
        <f>IF(Source!BS47&lt;&gt; 0, Source!BS47, 1)</f>
        <v>25.83</v>
      </c>
      <c r="J122" s="37">
        <f>Source!R47</f>
        <v>8.01</v>
      </c>
      <c r="Q122">
        <f>ROUND(Source!AE47*Source!I47, 2)</f>
        <v>0.31</v>
      </c>
    </row>
    <row r="123" spans="1:21" ht="14.25" x14ac:dyDescent="0.2">
      <c r="A123" s="25"/>
      <c r="B123" s="26"/>
      <c r="C123" s="26" t="s">
        <v>509</v>
      </c>
      <c r="D123" s="27"/>
      <c r="E123" s="10"/>
      <c r="F123" s="19">
        <f>Source!AL47</f>
        <v>20.46</v>
      </c>
      <c r="G123" s="28" t="str">
        <f>Source!DD47</f>
        <v/>
      </c>
      <c r="H123" s="19">
        <f>ROUND(Source!AC47*Source!I47, 2)</f>
        <v>20.46</v>
      </c>
      <c r="I123" s="28">
        <f>IF(Source!BC47&lt;&gt; 0, Source!BC47, 1)</f>
        <v>7.93</v>
      </c>
      <c r="J123" s="19">
        <f>Source!P47</f>
        <v>162.25</v>
      </c>
    </row>
    <row r="124" spans="1:21" ht="57" x14ac:dyDescent="0.2">
      <c r="A124" s="25" t="str">
        <f>Source!E48</f>
        <v>14,1</v>
      </c>
      <c r="B124" s="26" t="str">
        <f>Source!F48</f>
        <v>п.9 Мониторинга цен №3-ВСЭ</v>
      </c>
      <c r="C124" s="26" t="s">
        <v>534</v>
      </c>
      <c r="D124" s="27" t="str">
        <f>Source!H48</f>
        <v>ШТ</v>
      </c>
      <c r="E124" s="10">
        <f>Source!I48</f>
        <v>1</v>
      </c>
      <c r="F124" s="19">
        <f>Source!AK48</f>
        <v>235.27</v>
      </c>
      <c r="G124" s="38" t="s">
        <v>3</v>
      </c>
      <c r="H124" s="19">
        <f>ROUND(Source!AC48*Source!I48, 2)+ROUND(Source!AD48*Source!I48, 2)+ROUND(Source!AF48*Source!I48, 2)</f>
        <v>235.27</v>
      </c>
      <c r="I124" s="28">
        <f>IF(Source!BC48&lt;&gt; 0, Source!BC48, 1)</f>
        <v>7.3</v>
      </c>
      <c r="J124" s="19">
        <f>Source!O48</f>
        <v>1717.47</v>
      </c>
      <c r="R124">
        <f>ROUND((Source!FX48/100)*((ROUND(Source!AF48*Source!I48, 2)+ROUND(Source!AE48*Source!I48, 2))), 2)</f>
        <v>0</v>
      </c>
      <c r="S124">
        <f>Source!X48</f>
        <v>0</v>
      </c>
      <c r="T124">
        <f>ROUND((Source!FY48/100)*((ROUND(Source!AF48*Source!I48, 2)+ROUND(Source!AE48*Source!I48, 2))), 2)</f>
        <v>0</v>
      </c>
      <c r="U124">
        <f>Source!Y48</f>
        <v>0</v>
      </c>
    </row>
    <row r="125" spans="1:21" ht="14.25" x14ac:dyDescent="0.2">
      <c r="A125" s="25"/>
      <c r="B125" s="26"/>
      <c r="C125" s="26" t="str">
        <f>CONCATENATE("НР от ФОТ [к тек. уровню ", Source!FV47, "]")</f>
        <v>НР от ФОТ [к тек. уровню *0,85]</v>
      </c>
      <c r="D125" s="27" t="s">
        <v>510</v>
      </c>
      <c r="E125" s="10">
        <f>Source!BZ47</f>
        <v>95</v>
      </c>
      <c r="F125" s="19"/>
      <c r="G125" s="28"/>
      <c r="H125" s="19">
        <f>SUM(R119:R124)</f>
        <v>68.510000000000005</v>
      </c>
      <c r="I125" s="28">
        <f>Source!AT47</f>
        <v>81</v>
      </c>
      <c r="J125" s="19">
        <f>SUM(S119:S124)</f>
        <v>1508.92</v>
      </c>
    </row>
    <row r="126" spans="1:21" ht="14.25" x14ac:dyDescent="0.2">
      <c r="A126" s="25"/>
      <c r="B126" s="26"/>
      <c r="C126" s="26" t="str">
        <f>CONCATENATE("СП от ФОТ [к тек. уровню ", Source!FW47, "]")</f>
        <v>СП от ФОТ [к тек. уровню *0,8]</v>
      </c>
      <c r="D126" s="27" t="s">
        <v>510</v>
      </c>
      <c r="E126" s="10">
        <f>Source!CA47</f>
        <v>65</v>
      </c>
      <c r="F126" s="19"/>
      <c r="G126" s="28"/>
      <c r="H126" s="19">
        <f>SUM(T119:T125)</f>
        <v>46.88</v>
      </c>
      <c r="I126" s="28">
        <f>Source!AU47</f>
        <v>52</v>
      </c>
      <c r="J126" s="19">
        <f>SUM(U119:U125)</f>
        <v>968.69</v>
      </c>
    </row>
    <row r="127" spans="1:21" ht="14.25" x14ac:dyDescent="0.2">
      <c r="A127" s="31"/>
      <c r="B127" s="32"/>
      <c r="C127" s="32" t="s">
        <v>511</v>
      </c>
      <c r="D127" s="33" t="s">
        <v>512</v>
      </c>
      <c r="E127" s="34">
        <f>Source!AQ47</f>
        <v>6.22</v>
      </c>
      <c r="F127" s="35"/>
      <c r="G127" s="36" t="str">
        <f>Source!DI47</f>
        <v>)*1,2</v>
      </c>
      <c r="H127" s="35">
        <f>Source!U47</f>
        <v>7.4639999999999995</v>
      </c>
      <c r="I127" s="36"/>
      <c r="J127" s="35"/>
    </row>
    <row r="128" spans="1:21" ht="15" x14ac:dyDescent="0.25">
      <c r="C128" s="29" t="s">
        <v>503</v>
      </c>
      <c r="G128" s="42">
        <f>ROUND(Source!AC47*Source!I47, 2)+ROUND(Source!AF47*Source!I47, 2)+ROUND(Source!AD47*Source!I47, 2)+SUM(H124:H126)</f>
        <v>445.06000000000006</v>
      </c>
      <c r="H128" s="42"/>
      <c r="I128" s="42">
        <f>Source!P47+Source!Q47+Source!S47+SUM(J124:J126)</f>
        <v>6232.5</v>
      </c>
      <c r="J128" s="42"/>
      <c r="O128" s="30">
        <f>G128</f>
        <v>445.06000000000006</v>
      </c>
      <c r="P128" s="30">
        <f>I128</f>
        <v>6232.5</v>
      </c>
    </row>
    <row r="129" spans="1:21" ht="195.75" x14ac:dyDescent="0.2">
      <c r="A129" s="25" t="str">
        <f>Source!E49</f>
        <v>15</v>
      </c>
      <c r="B129" s="26" t="s">
        <v>535</v>
      </c>
      <c r="C129" s="26" t="s">
        <v>536</v>
      </c>
      <c r="D129" s="27" t="str">
        <f>Source!H49</f>
        <v>100 ШТ</v>
      </c>
      <c r="E129" s="10">
        <f>Source!I49</f>
        <v>0.04</v>
      </c>
      <c r="F129" s="19"/>
      <c r="G129" s="28"/>
      <c r="H129" s="19"/>
      <c r="I129" s="28" t="str">
        <f>Source!BO49</f>
        <v>м08-02-144-05</v>
      </c>
      <c r="J129" s="19"/>
      <c r="R129">
        <f>ROUND((Source!FX49/100)*((ROUND(Source!AF49*Source!I49, 2)+ROUND(Source!AE49*Source!I49, 2))), 2)</f>
        <v>6.63</v>
      </c>
      <c r="S129">
        <f>Source!X49</f>
        <v>146.07</v>
      </c>
      <c r="T129">
        <f>ROUND((Source!FY49/100)*((ROUND(Source!AF49*Source!I49, 2)+ROUND(Source!AE49*Source!I49, 2))), 2)</f>
        <v>4.54</v>
      </c>
      <c r="U129">
        <f>Source!Y49</f>
        <v>93.77</v>
      </c>
    </row>
    <row r="130" spans="1:21" ht="14.25" x14ac:dyDescent="0.2">
      <c r="A130" s="25"/>
      <c r="B130" s="26"/>
      <c r="C130" s="26" t="s">
        <v>506</v>
      </c>
      <c r="D130" s="27"/>
      <c r="E130" s="10"/>
      <c r="F130" s="19">
        <f>Source!AO49</f>
        <v>145.44999999999999</v>
      </c>
      <c r="G130" s="28" t="str">
        <f>Source!DG49</f>
        <v>)*1,2</v>
      </c>
      <c r="H130" s="19">
        <f>ROUND(Source!AF49*Source!I49, 2)</f>
        <v>6.98</v>
      </c>
      <c r="I130" s="28">
        <f>IF(Source!BA49&lt;&gt; 0, Source!BA49, 1)</f>
        <v>25.83</v>
      </c>
      <c r="J130" s="19">
        <f>Source!S49</f>
        <v>180.33</v>
      </c>
      <c r="Q130">
        <f>ROUND(Source!AF49*Source!I49, 2)</f>
        <v>6.98</v>
      </c>
    </row>
    <row r="131" spans="1:21" ht="14.25" x14ac:dyDescent="0.2">
      <c r="A131" s="25"/>
      <c r="B131" s="26"/>
      <c r="C131" s="26" t="s">
        <v>509</v>
      </c>
      <c r="D131" s="27"/>
      <c r="E131" s="10"/>
      <c r="F131" s="19">
        <f>Source!AL49</f>
        <v>2.91</v>
      </c>
      <c r="G131" s="28" t="str">
        <f>Source!DD49</f>
        <v/>
      </c>
      <c r="H131" s="19">
        <f>ROUND(Source!AC49*Source!I49, 2)</f>
        <v>0.12</v>
      </c>
      <c r="I131" s="28">
        <f>IF(Source!BC49&lt;&gt; 0, Source!BC49, 1)</f>
        <v>25.82</v>
      </c>
      <c r="J131" s="19">
        <f>Source!P49</f>
        <v>3.01</v>
      </c>
    </row>
    <row r="132" spans="1:21" ht="14.25" x14ac:dyDescent="0.2">
      <c r="A132" s="25"/>
      <c r="B132" s="26"/>
      <c r="C132" s="26" t="str">
        <f>CONCATENATE("НР от ФОТ [к тек. уровню ", Source!FV49, "]")</f>
        <v>НР от ФОТ [к тек. уровню *0,85]</v>
      </c>
      <c r="D132" s="27" t="s">
        <v>510</v>
      </c>
      <c r="E132" s="10">
        <f>Source!BZ49</f>
        <v>95</v>
      </c>
      <c r="F132" s="19"/>
      <c r="G132" s="28"/>
      <c r="H132" s="19">
        <f>SUM(R129:R131)</f>
        <v>6.63</v>
      </c>
      <c r="I132" s="28">
        <f>Source!AT49</f>
        <v>81</v>
      </c>
      <c r="J132" s="19">
        <f>SUM(S129:S131)</f>
        <v>146.07</v>
      </c>
    </row>
    <row r="133" spans="1:21" ht="14.25" x14ac:dyDescent="0.2">
      <c r="A133" s="25"/>
      <c r="B133" s="26"/>
      <c r="C133" s="26" t="str">
        <f>CONCATENATE("СП от ФОТ [к тек. уровню ", Source!FW49, "]")</f>
        <v>СП от ФОТ [к тек. уровню *0,8]</v>
      </c>
      <c r="D133" s="27" t="s">
        <v>510</v>
      </c>
      <c r="E133" s="10">
        <f>Source!CA49</f>
        <v>65</v>
      </c>
      <c r="F133" s="19"/>
      <c r="G133" s="28"/>
      <c r="H133" s="19">
        <f>SUM(T129:T132)</f>
        <v>4.54</v>
      </c>
      <c r="I133" s="28">
        <f>Source!AU49</f>
        <v>52</v>
      </c>
      <c r="J133" s="19">
        <f>SUM(U129:U132)</f>
        <v>93.77</v>
      </c>
    </row>
    <row r="134" spans="1:21" ht="14.25" x14ac:dyDescent="0.2">
      <c r="A134" s="31"/>
      <c r="B134" s="32"/>
      <c r="C134" s="32" t="s">
        <v>511</v>
      </c>
      <c r="D134" s="33" t="s">
        <v>512</v>
      </c>
      <c r="E134" s="34">
        <f>Source!AQ49</f>
        <v>15.12</v>
      </c>
      <c r="F134" s="35"/>
      <c r="G134" s="36" t="str">
        <f>Source!DI49</f>
        <v>)*1,2</v>
      </c>
      <c r="H134" s="35">
        <f>Source!U49</f>
        <v>0.72575999999999996</v>
      </c>
      <c r="I134" s="36"/>
      <c r="J134" s="35"/>
    </row>
    <row r="135" spans="1:21" ht="15" x14ac:dyDescent="0.25">
      <c r="C135" s="29" t="s">
        <v>503</v>
      </c>
      <c r="G135" s="42">
        <f>ROUND(Source!AC49*Source!I49, 2)+ROUND(Source!AF49*Source!I49, 2)+ROUND(Source!AD49*Source!I49, 2)+SUM(H132:H133)</f>
        <v>18.27</v>
      </c>
      <c r="H135" s="42"/>
      <c r="I135" s="42">
        <f>Source!P49+Source!Q49+Source!S49+SUM(J132:J133)</f>
        <v>423.17999999999995</v>
      </c>
      <c r="J135" s="42"/>
      <c r="O135" s="30">
        <f>G135</f>
        <v>18.27</v>
      </c>
      <c r="P135" s="30">
        <f>I135</f>
        <v>423.17999999999995</v>
      </c>
    </row>
    <row r="136" spans="1:21" ht="181.5" x14ac:dyDescent="0.2">
      <c r="A136" s="25" t="str">
        <f>Source!E50</f>
        <v>16</v>
      </c>
      <c r="B136" s="26" t="s">
        <v>525</v>
      </c>
      <c r="C136" s="26" t="s">
        <v>526</v>
      </c>
      <c r="D136" s="27" t="str">
        <f>Source!H50</f>
        <v>100 м3</v>
      </c>
      <c r="E136" s="10">
        <f>Source!I50</f>
        <v>0.1162</v>
      </c>
      <c r="F136" s="19"/>
      <c r="G136" s="28"/>
      <c r="H136" s="19"/>
      <c r="I136" s="28" t="str">
        <f>Source!BO50</f>
        <v>01-02-061-02</v>
      </c>
      <c r="J136" s="19"/>
      <c r="R136">
        <f>ROUND((Source!FX50/100)*((ROUND(Source!AF50*Source!I50, 2)+ROUND(Source!AE50*Source!I50, 2))), 2)</f>
        <v>81.319999999999993</v>
      </c>
      <c r="S136">
        <f>Source!X50</f>
        <v>1785.45</v>
      </c>
      <c r="T136">
        <f>ROUND((Source!FY50/100)*((ROUND(Source!AF50*Source!I50, 2)+ROUND(Source!AE50*Source!I50, 2))), 2)</f>
        <v>45.74</v>
      </c>
      <c r="U136">
        <f>Source!Y50</f>
        <v>945.24</v>
      </c>
    </row>
    <row r="137" spans="1:21" ht="14.25" x14ac:dyDescent="0.2">
      <c r="A137" s="25"/>
      <c r="B137" s="26"/>
      <c r="C137" s="26" t="s">
        <v>506</v>
      </c>
      <c r="D137" s="27"/>
      <c r="E137" s="10"/>
      <c r="F137" s="19">
        <f>Source!AO50</f>
        <v>729</v>
      </c>
      <c r="G137" s="28" t="str">
        <f>Source!DG50</f>
        <v>)*1,2</v>
      </c>
      <c r="H137" s="19">
        <f>ROUND(Source!AF50*Source!I50, 2)</f>
        <v>101.65</v>
      </c>
      <c r="I137" s="28">
        <f>IF(Source!BA50&lt;&gt; 0, Source!BA50, 1)</f>
        <v>25.83</v>
      </c>
      <c r="J137" s="19">
        <f>Source!S50</f>
        <v>2625.66</v>
      </c>
      <c r="Q137">
        <f>ROUND(Source!AF50*Source!I50, 2)</f>
        <v>101.65</v>
      </c>
    </row>
    <row r="138" spans="1:21" ht="14.25" x14ac:dyDescent="0.2">
      <c r="A138" s="25"/>
      <c r="B138" s="26"/>
      <c r="C138" s="26" t="str">
        <f>CONCATENATE("НР от ФОТ [к тек. уровню ", Source!FV50, "]")</f>
        <v>НР от ФОТ [к тек. уровню *0,85]</v>
      </c>
      <c r="D138" s="27" t="s">
        <v>510</v>
      </c>
      <c r="E138" s="10">
        <f>Source!BZ50</f>
        <v>80</v>
      </c>
      <c r="F138" s="19"/>
      <c r="G138" s="28"/>
      <c r="H138" s="19">
        <f>SUM(R136:R137)</f>
        <v>81.319999999999993</v>
      </c>
      <c r="I138" s="28">
        <f>Source!AT50</f>
        <v>68</v>
      </c>
      <c r="J138" s="19">
        <f>SUM(S136:S137)</f>
        <v>1785.45</v>
      </c>
    </row>
    <row r="139" spans="1:21" ht="14.25" x14ac:dyDescent="0.2">
      <c r="A139" s="25"/>
      <c r="B139" s="26"/>
      <c r="C139" s="26" t="str">
        <f>CONCATENATE("СП от ФОТ [к тек. уровню ", Source!FW50, "]")</f>
        <v>СП от ФОТ [к тек. уровню *0,8]</v>
      </c>
      <c r="D139" s="27" t="s">
        <v>510</v>
      </c>
      <c r="E139" s="10">
        <f>Source!CA50</f>
        <v>45</v>
      </c>
      <c r="F139" s="19"/>
      <c r="G139" s="28"/>
      <c r="H139" s="19">
        <f>SUM(T136:T138)</f>
        <v>45.74</v>
      </c>
      <c r="I139" s="28">
        <f>Source!AU50</f>
        <v>36</v>
      </c>
      <c r="J139" s="19">
        <f>SUM(U136:U138)</f>
        <v>945.24</v>
      </c>
    </row>
    <row r="140" spans="1:21" ht="14.25" x14ac:dyDescent="0.2">
      <c r="A140" s="31"/>
      <c r="B140" s="32"/>
      <c r="C140" s="32" t="s">
        <v>511</v>
      </c>
      <c r="D140" s="33" t="s">
        <v>512</v>
      </c>
      <c r="E140" s="34">
        <f>Source!AQ50</f>
        <v>97.2</v>
      </c>
      <c r="F140" s="35"/>
      <c r="G140" s="36" t="str">
        <f>Source!DI50</f>
        <v>)*1,2</v>
      </c>
      <c r="H140" s="35">
        <f>Source!U50</f>
        <v>13.553568</v>
      </c>
      <c r="I140" s="36"/>
      <c r="J140" s="35"/>
    </row>
    <row r="141" spans="1:21" ht="15" x14ac:dyDescent="0.25">
      <c r="C141" s="29" t="s">
        <v>503</v>
      </c>
      <c r="G141" s="42">
        <f>ROUND(Source!AC50*Source!I50, 2)+ROUND(Source!AF50*Source!I50, 2)+ROUND(Source!AD50*Source!I50, 2)+SUM(H138:H139)</f>
        <v>228.71</v>
      </c>
      <c r="H141" s="42"/>
      <c r="I141" s="42">
        <f>Source!P50+Source!Q50+Source!S50+SUM(J138:J139)</f>
        <v>5356.35</v>
      </c>
      <c r="J141" s="42"/>
      <c r="O141" s="30">
        <f>G141</f>
        <v>228.71</v>
      </c>
      <c r="P141" s="30">
        <f>I141</f>
        <v>5356.35</v>
      </c>
    </row>
    <row r="142" spans="1:21" ht="210" x14ac:dyDescent="0.2">
      <c r="A142" s="25" t="str">
        <f>Source!E51</f>
        <v>17</v>
      </c>
      <c r="B142" s="26" t="s">
        <v>537</v>
      </c>
      <c r="C142" s="26" t="s">
        <v>538</v>
      </c>
      <c r="D142" s="27" t="str">
        <f>Source!H51</f>
        <v>100 м2</v>
      </c>
      <c r="E142" s="10">
        <f>Source!I51</f>
        <v>0.25</v>
      </c>
      <c r="F142" s="19"/>
      <c r="G142" s="28"/>
      <c r="H142" s="19"/>
      <c r="I142" s="28" t="str">
        <f>Source!BO51</f>
        <v>47-01-046-04</v>
      </c>
      <c r="J142" s="19"/>
      <c r="R142">
        <f>ROUND((Source!FX51/100)*((ROUND(Source!AF51*Source!I51, 2)+ROUND(Source!AE51*Source!I51, 2))), 2)</f>
        <v>109.57</v>
      </c>
      <c r="S142">
        <f>Source!X51</f>
        <v>2411.86</v>
      </c>
      <c r="T142">
        <f>ROUND((Source!FY51/100)*((ROUND(Source!AF51*Source!I51, 2)+ROUND(Source!AE51*Source!I51, 2))), 2)</f>
        <v>85.75</v>
      </c>
      <c r="U142">
        <f>Source!Y51</f>
        <v>1771.98</v>
      </c>
    </row>
    <row r="143" spans="1:21" ht="14.25" x14ac:dyDescent="0.2">
      <c r="A143" s="25"/>
      <c r="B143" s="26"/>
      <c r="C143" s="26" t="s">
        <v>506</v>
      </c>
      <c r="D143" s="27"/>
      <c r="E143" s="10"/>
      <c r="F143" s="19">
        <f>Source!AO51</f>
        <v>317.60000000000002</v>
      </c>
      <c r="G143" s="28" t="str">
        <f>Source!DG51</f>
        <v>)*1,2</v>
      </c>
      <c r="H143" s="19">
        <f>ROUND(Source!AF51*Source!I51, 2)</f>
        <v>95.28</v>
      </c>
      <c r="I143" s="28">
        <f>IF(Source!BA51&lt;&gt; 0, Source!BA51, 1)</f>
        <v>25.83</v>
      </c>
      <c r="J143" s="19">
        <f>Source!S51</f>
        <v>2461.08</v>
      </c>
      <c r="Q143">
        <f>ROUND(Source!AF51*Source!I51, 2)</f>
        <v>95.28</v>
      </c>
    </row>
    <row r="144" spans="1:21" ht="14.25" x14ac:dyDescent="0.2">
      <c r="A144" s="25"/>
      <c r="B144" s="26"/>
      <c r="C144" s="26" t="s">
        <v>509</v>
      </c>
      <c r="D144" s="27"/>
      <c r="E144" s="10"/>
      <c r="F144" s="19">
        <f>Source!AL51</f>
        <v>1978.5</v>
      </c>
      <c r="G144" s="28" t="str">
        <f>Source!DD51</f>
        <v/>
      </c>
      <c r="H144" s="19">
        <f>ROUND(Source!AC51*Source!I51, 2)</f>
        <v>494.63</v>
      </c>
      <c r="I144" s="28">
        <f>IF(Source!BC51&lt;&gt; 0, Source!BC51, 1)</f>
        <v>5.78</v>
      </c>
      <c r="J144" s="19">
        <f>Source!P51</f>
        <v>2858.93</v>
      </c>
    </row>
    <row r="145" spans="1:21" ht="14.25" x14ac:dyDescent="0.2">
      <c r="A145" s="25"/>
      <c r="B145" s="26"/>
      <c r="C145" s="26" t="str">
        <f>CONCATENATE("НР от ФОТ [к тек. уровню ", Source!FV51, "]")</f>
        <v>НР от ФОТ [к тек. уровню *0,85]</v>
      </c>
      <c r="D145" s="27" t="s">
        <v>510</v>
      </c>
      <c r="E145" s="10">
        <f>Source!BZ51</f>
        <v>115</v>
      </c>
      <c r="F145" s="19"/>
      <c r="G145" s="28"/>
      <c r="H145" s="19">
        <f>SUM(R142:R144)</f>
        <v>109.57</v>
      </c>
      <c r="I145" s="28">
        <f>Source!AT51</f>
        <v>98</v>
      </c>
      <c r="J145" s="19">
        <f>SUM(S142:S144)</f>
        <v>2411.86</v>
      </c>
    </row>
    <row r="146" spans="1:21" ht="14.25" x14ac:dyDescent="0.2">
      <c r="A146" s="25"/>
      <c r="B146" s="26"/>
      <c r="C146" s="26" t="str">
        <f>CONCATENATE("СП от ФОТ [к тек. уровню ", Source!FW51, "]")</f>
        <v>СП от ФОТ [к тек. уровню *0,8]</v>
      </c>
      <c r="D146" s="27" t="s">
        <v>510</v>
      </c>
      <c r="E146" s="10">
        <f>Source!CA51</f>
        <v>90</v>
      </c>
      <c r="F146" s="19"/>
      <c r="G146" s="28"/>
      <c r="H146" s="19">
        <f>SUM(T142:T145)</f>
        <v>85.75</v>
      </c>
      <c r="I146" s="28">
        <f>Source!AU51</f>
        <v>72</v>
      </c>
      <c r="J146" s="19">
        <f>SUM(U142:U145)</f>
        <v>1771.98</v>
      </c>
    </row>
    <row r="147" spans="1:21" ht="14.25" x14ac:dyDescent="0.2">
      <c r="A147" s="31"/>
      <c r="B147" s="32"/>
      <c r="C147" s="32" t="s">
        <v>511</v>
      </c>
      <c r="D147" s="33" t="s">
        <v>512</v>
      </c>
      <c r="E147" s="34">
        <f>Source!AQ51</f>
        <v>40</v>
      </c>
      <c r="F147" s="35"/>
      <c r="G147" s="36" t="str">
        <f>Source!DI51</f>
        <v>)*1,2</v>
      </c>
      <c r="H147" s="35">
        <f>Source!U51</f>
        <v>12</v>
      </c>
      <c r="I147" s="36"/>
      <c r="J147" s="35"/>
    </row>
    <row r="148" spans="1:21" ht="15" x14ac:dyDescent="0.25">
      <c r="C148" s="29" t="s">
        <v>503</v>
      </c>
      <c r="G148" s="42">
        <f>ROUND(Source!AC51*Source!I51, 2)+ROUND(Source!AF51*Source!I51, 2)+ROUND(Source!AD51*Source!I51, 2)+SUM(H145:H146)</f>
        <v>785.23</v>
      </c>
      <c r="H148" s="42"/>
      <c r="I148" s="42">
        <f>Source!P51+Source!Q51+Source!S51+SUM(J145:J146)</f>
        <v>9503.85</v>
      </c>
      <c r="J148" s="42"/>
      <c r="O148" s="30">
        <f>G148</f>
        <v>785.23</v>
      </c>
      <c r="P148" s="30">
        <f>I148</f>
        <v>9503.85</v>
      </c>
    </row>
    <row r="149" spans="1:21" ht="195.75" x14ac:dyDescent="0.2">
      <c r="A149" s="25" t="str">
        <f>Source!E52</f>
        <v>18</v>
      </c>
      <c r="B149" s="26" t="s">
        <v>539</v>
      </c>
      <c r="C149" s="26" t="s">
        <v>540</v>
      </c>
      <c r="D149" s="27" t="str">
        <f>Source!H52</f>
        <v>100 м2</v>
      </c>
      <c r="E149" s="10">
        <f>Source!I52</f>
        <v>0.25</v>
      </c>
      <c r="F149" s="19"/>
      <c r="G149" s="28"/>
      <c r="H149" s="19"/>
      <c r="I149" s="28" t="str">
        <f>Source!BO52</f>
        <v>47-01-046-06</v>
      </c>
      <c r="J149" s="19"/>
      <c r="R149">
        <f>ROUND((Source!FX52/100)*((ROUND(Source!AF52*Source!I52, 2)+ROUND(Source!AE52*Source!I52, 2))), 2)</f>
        <v>28.46</v>
      </c>
      <c r="S149">
        <f>Source!X52</f>
        <v>626.26</v>
      </c>
      <c r="T149">
        <f>ROUND((Source!FY52/100)*((ROUND(Source!AF52*Source!I52, 2)+ROUND(Source!AE52*Source!I52, 2))), 2)</f>
        <v>22.28</v>
      </c>
      <c r="U149">
        <f>Source!Y52</f>
        <v>460.11</v>
      </c>
    </row>
    <row r="150" spans="1:21" ht="14.25" x14ac:dyDescent="0.2">
      <c r="A150" s="25"/>
      <c r="B150" s="26"/>
      <c r="C150" s="26" t="s">
        <v>506</v>
      </c>
      <c r="D150" s="27"/>
      <c r="E150" s="10"/>
      <c r="F150" s="19">
        <f>Source!AO52</f>
        <v>50.68</v>
      </c>
      <c r="G150" s="28" t="str">
        <f>Source!DG52</f>
        <v>)*1,2</v>
      </c>
      <c r="H150" s="19">
        <f>ROUND(Source!AF52*Source!I52, 2)</f>
        <v>15.21</v>
      </c>
      <c r="I150" s="28">
        <f>IF(Source!BA52&lt;&gt; 0, Source!BA52, 1)</f>
        <v>25.83</v>
      </c>
      <c r="J150" s="19">
        <f>Source!S52</f>
        <v>392.75</v>
      </c>
      <c r="Q150">
        <f>ROUND(Source!AF52*Source!I52, 2)</f>
        <v>15.21</v>
      </c>
    </row>
    <row r="151" spans="1:21" ht="14.25" x14ac:dyDescent="0.2">
      <c r="A151" s="25"/>
      <c r="B151" s="26"/>
      <c r="C151" s="26" t="s">
        <v>507</v>
      </c>
      <c r="D151" s="27"/>
      <c r="E151" s="10"/>
      <c r="F151" s="19">
        <f>Source!AM52</f>
        <v>301.39999999999998</v>
      </c>
      <c r="G151" s="28" t="str">
        <f>Source!DE52</f>
        <v>)*1,2</v>
      </c>
      <c r="H151" s="19">
        <f>ROUND(Source!AD52*Source!I52, 2)</f>
        <v>90.42</v>
      </c>
      <c r="I151" s="28">
        <f>IF(Source!BB52&lt;&gt; 0, Source!BB52, 1)</f>
        <v>6.68</v>
      </c>
      <c r="J151" s="19">
        <f>Source!Q52</f>
        <v>604.01</v>
      </c>
    </row>
    <row r="152" spans="1:21" ht="14.25" x14ac:dyDescent="0.2">
      <c r="A152" s="25"/>
      <c r="B152" s="26"/>
      <c r="C152" s="26" t="s">
        <v>508</v>
      </c>
      <c r="D152" s="27"/>
      <c r="E152" s="10"/>
      <c r="F152" s="19">
        <f>Source!AN52</f>
        <v>31.78</v>
      </c>
      <c r="G152" s="28" t="str">
        <f>Source!DF52</f>
        <v>)*1,2</v>
      </c>
      <c r="H152" s="37">
        <f>ROUND(Source!AE52*Source!I52, 2)</f>
        <v>9.5399999999999991</v>
      </c>
      <c r="I152" s="28">
        <f>IF(Source!BS52&lt;&gt; 0, Source!BS52, 1)</f>
        <v>25.83</v>
      </c>
      <c r="J152" s="37">
        <f>Source!R52</f>
        <v>246.29</v>
      </c>
      <c r="Q152">
        <f>ROUND(Source!AE52*Source!I52, 2)</f>
        <v>9.5399999999999991</v>
      </c>
    </row>
    <row r="153" spans="1:21" ht="14.25" x14ac:dyDescent="0.2">
      <c r="A153" s="25"/>
      <c r="B153" s="26"/>
      <c r="C153" s="26" t="s">
        <v>509</v>
      </c>
      <c r="D153" s="27"/>
      <c r="E153" s="10"/>
      <c r="F153" s="19">
        <f>Source!AL52</f>
        <v>24.4</v>
      </c>
      <c r="G153" s="28" t="str">
        <f>Source!DD52</f>
        <v/>
      </c>
      <c r="H153" s="19">
        <f>ROUND(Source!AC52*Source!I52, 2)</f>
        <v>6.1</v>
      </c>
      <c r="I153" s="28">
        <f>IF(Source!BC52&lt;&gt; 0, Source!BC52, 1)</f>
        <v>6.97</v>
      </c>
      <c r="J153" s="19">
        <f>Source!P52</f>
        <v>42.52</v>
      </c>
    </row>
    <row r="154" spans="1:21" ht="28.5" x14ac:dyDescent="0.2">
      <c r="A154" s="25" t="str">
        <f>Source!E53</f>
        <v>18,1</v>
      </c>
      <c r="B154" s="26" t="str">
        <f>Source!F53</f>
        <v>16.2.02.07-0161</v>
      </c>
      <c r="C154" s="26" t="str">
        <f>Source!G53</f>
        <v>Семена газонных трав (смесь)</v>
      </c>
      <c r="D154" s="27" t="str">
        <f>Source!H53</f>
        <v>кг</v>
      </c>
      <c r="E154" s="10">
        <f>Source!I53</f>
        <v>0.5</v>
      </c>
      <c r="F154" s="19">
        <f>Source!AK53</f>
        <v>146.25</v>
      </c>
      <c r="G154" s="38" t="s">
        <v>3</v>
      </c>
      <c r="H154" s="19">
        <f>ROUND(Source!AC53*Source!I53, 2)+ROUND(Source!AD53*Source!I53, 2)+ROUND(Source!AF53*Source!I53, 2)</f>
        <v>73.13</v>
      </c>
      <c r="I154" s="28">
        <f>IF(Source!BC53&lt;&gt; 0, Source!BC53, 1)</f>
        <v>0.92</v>
      </c>
      <c r="J154" s="19">
        <f>Source!O53</f>
        <v>67.28</v>
      </c>
      <c r="R154">
        <f>ROUND((Source!FX53/100)*((ROUND(Source!AF53*Source!I53, 2)+ROUND(Source!AE53*Source!I53, 2))), 2)</f>
        <v>0</v>
      </c>
      <c r="S154">
        <f>Source!X53</f>
        <v>0</v>
      </c>
      <c r="T154">
        <f>ROUND((Source!FY53/100)*((ROUND(Source!AF53*Source!I53, 2)+ROUND(Source!AE53*Source!I53, 2))), 2)</f>
        <v>0</v>
      </c>
      <c r="U154">
        <f>Source!Y53</f>
        <v>0</v>
      </c>
    </row>
    <row r="155" spans="1:21" ht="14.25" x14ac:dyDescent="0.2">
      <c r="A155" s="25"/>
      <c r="B155" s="26"/>
      <c r="C155" s="26" t="str">
        <f>CONCATENATE("НР от ФОТ [к тек. уровню ", Source!FV52, "]")</f>
        <v>НР от ФОТ [к тек. уровню *0,85]</v>
      </c>
      <c r="D155" s="27" t="s">
        <v>510</v>
      </c>
      <c r="E155" s="10">
        <f>Source!BZ52</f>
        <v>115</v>
      </c>
      <c r="F155" s="19"/>
      <c r="G155" s="28"/>
      <c r="H155" s="19">
        <f>SUM(R149:R154)</f>
        <v>28.46</v>
      </c>
      <c r="I155" s="28">
        <f>Source!AT52</f>
        <v>98</v>
      </c>
      <c r="J155" s="19">
        <f>SUM(S149:S154)</f>
        <v>626.26</v>
      </c>
    </row>
    <row r="156" spans="1:21" ht="14.25" x14ac:dyDescent="0.2">
      <c r="A156" s="25"/>
      <c r="B156" s="26"/>
      <c r="C156" s="26" t="str">
        <f>CONCATENATE("СП от ФОТ [к тек. уровню ", Source!FW52, "]")</f>
        <v>СП от ФОТ [к тек. уровню *0,8]</v>
      </c>
      <c r="D156" s="27" t="s">
        <v>510</v>
      </c>
      <c r="E156" s="10">
        <f>Source!CA52</f>
        <v>90</v>
      </c>
      <c r="F156" s="19"/>
      <c r="G156" s="28"/>
      <c r="H156" s="19">
        <f>SUM(T149:T155)</f>
        <v>22.28</v>
      </c>
      <c r="I156" s="28">
        <f>Source!AU52</f>
        <v>72</v>
      </c>
      <c r="J156" s="19">
        <f>SUM(U149:U155)</f>
        <v>460.11</v>
      </c>
    </row>
    <row r="157" spans="1:21" ht="14.25" x14ac:dyDescent="0.2">
      <c r="A157" s="31"/>
      <c r="B157" s="32"/>
      <c r="C157" s="32" t="s">
        <v>511</v>
      </c>
      <c r="D157" s="33" t="s">
        <v>512</v>
      </c>
      <c r="E157" s="34">
        <f>Source!AQ52</f>
        <v>5.99</v>
      </c>
      <c r="F157" s="35"/>
      <c r="G157" s="36" t="str">
        <f>Source!DI52</f>
        <v>)*1,2</v>
      </c>
      <c r="H157" s="35">
        <f>Source!U52</f>
        <v>1.7969999999999999</v>
      </c>
      <c r="I157" s="36"/>
      <c r="J157" s="35"/>
    </row>
    <row r="158" spans="1:21" ht="15" x14ac:dyDescent="0.25">
      <c r="C158" s="29" t="s">
        <v>503</v>
      </c>
      <c r="G158" s="42">
        <f>ROUND(Source!AC52*Source!I52, 2)+ROUND(Source!AF52*Source!I52, 2)+ROUND(Source!AD52*Source!I52, 2)+SUM(H154:H156)</f>
        <v>235.60000000000002</v>
      </c>
      <c r="H158" s="42"/>
      <c r="I158" s="42">
        <f>Source!P52+Source!Q52+Source!S52+SUM(J154:J156)</f>
        <v>2192.9300000000003</v>
      </c>
      <c r="J158" s="42"/>
      <c r="O158" s="30">
        <f>G158</f>
        <v>235.60000000000002</v>
      </c>
      <c r="P158" s="30">
        <f>I158</f>
        <v>2192.9300000000003</v>
      </c>
    </row>
    <row r="159" spans="1:21" ht="42.75" x14ac:dyDescent="0.2">
      <c r="A159" s="31" t="str">
        <f>Source!E54</f>
        <v>19</v>
      </c>
      <c r="B159" s="32" t="str">
        <f>Source!F54</f>
        <v>т01-01-01-039</v>
      </c>
      <c r="C159" s="32" t="str">
        <f>Source!G54</f>
        <v>Погрузочные работы при автомобильных перевозках грунта растительного слоя (земля, перегной)</v>
      </c>
      <c r="D159" s="33" t="str">
        <f>Source!H54</f>
        <v>1 Т ГРУЗА</v>
      </c>
      <c r="E159" s="34">
        <f>Source!I54</f>
        <v>7.67</v>
      </c>
      <c r="F159" s="35">
        <f>Source!AK54</f>
        <v>3.96</v>
      </c>
      <c r="G159" s="36" t="str">
        <f>Source!DC54</f>
        <v/>
      </c>
      <c r="H159" s="35">
        <f>ROUND(Source!AB54*Source!I54, 2)</f>
        <v>30.37</v>
      </c>
      <c r="I159" s="36">
        <f>Source!AZ54</f>
        <v>10.91</v>
      </c>
      <c r="J159" s="35">
        <f>Source!GM54</f>
        <v>331.37</v>
      </c>
      <c r="R159">
        <f>ROUND((Source!FX54/100)*((ROUND(0*Source!I54, 2)+ROUND(0*Source!I54, 2))), 2)</f>
        <v>0</v>
      </c>
      <c r="S159">
        <f>Source!X54</f>
        <v>0</v>
      </c>
      <c r="T159">
        <f>ROUND((Source!FY54/100)*((ROUND(0*Source!I54, 2)+ROUND(0*Source!I54, 2))), 2)</f>
        <v>0</v>
      </c>
      <c r="U159">
        <f>Source!Y54</f>
        <v>0</v>
      </c>
    </row>
    <row r="160" spans="1:21" ht="15" x14ac:dyDescent="0.25">
      <c r="C160" s="29" t="s">
        <v>503</v>
      </c>
      <c r="G160" s="42">
        <f>H159</f>
        <v>30.37</v>
      </c>
      <c r="H160" s="42"/>
      <c r="I160" s="42">
        <f>J159</f>
        <v>331.37</v>
      </c>
      <c r="J160" s="42"/>
      <c r="O160" s="30">
        <f>G160</f>
        <v>30.37</v>
      </c>
      <c r="P160" s="30">
        <f>I160</f>
        <v>331.37</v>
      </c>
    </row>
    <row r="161" spans="1:21" ht="57" x14ac:dyDescent="0.2">
      <c r="A161" s="31" t="str">
        <f>Source!E55</f>
        <v>20</v>
      </c>
      <c r="B161" s="32" t="str">
        <f>Source!F55</f>
        <v>т03-21-01-057</v>
      </c>
      <c r="C161" s="32" t="str">
        <f>Source!G55</f>
        <v>Перевозка грузов I класса автомобилями-самосвалами грузоподъемностью 10 т работающих вне карьера на расстояние до 57 км</v>
      </c>
      <c r="D161" s="33" t="str">
        <f>Source!H55</f>
        <v>1 Т ГРУЗА</v>
      </c>
      <c r="E161" s="34">
        <f>Source!I55</f>
        <v>7.67</v>
      </c>
      <c r="F161" s="35">
        <f>Source!AK55</f>
        <v>29.92</v>
      </c>
      <c r="G161" s="36" t="str">
        <f>Source!DC55</f>
        <v/>
      </c>
      <c r="H161" s="35">
        <f>ROUND(Source!AB55*Source!I55, 2)</f>
        <v>229.49</v>
      </c>
      <c r="I161" s="36">
        <f>Source!AZ55</f>
        <v>7.72</v>
      </c>
      <c r="J161" s="35">
        <f>Source!GM55</f>
        <v>1771.64</v>
      </c>
      <c r="R161">
        <f>ROUND((Source!FX55/100)*((ROUND(0*Source!I55, 2)+ROUND(0*Source!I55, 2))), 2)</f>
        <v>0</v>
      </c>
      <c r="S161">
        <f>Source!X55</f>
        <v>0</v>
      </c>
      <c r="T161">
        <f>ROUND((Source!FY55/100)*((ROUND(0*Source!I55, 2)+ROUND(0*Source!I55, 2))), 2)</f>
        <v>0</v>
      </c>
      <c r="U161">
        <f>Source!Y55</f>
        <v>0</v>
      </c>
    </row>
    <row r="162" spans="1:21" ht="15" x14ac:dyDescent="0.25">
      <c r="C162" s="29" t="s">
        <v>503</v>
      </c>
      <c r="G162" s="42">
        <f>H161</f>
        <v>229.49</v>
      </c>
      <c r="H162" s="42"/>
      <c r="I162" s="42">
        <f>J161</f>
        <v>1771.64</v>
      </c>
      <c r="J162" s="42"/>
      <c r="O162" s="30">
        <f>G162</f>
        <v>229.49</v>
      </c>
      <c r="P162" s="30">
        <f>I162</f>
        <v>1771.64</v>
      </c>
    </row>
    <row r="163" spans="1:21" ht="139.5" x14ac:dyDescent="0.2">
      <c r="A163" s="31" t="str">
        <f>Source!E56</f>
        <v>21</v>
      </c>
      <c r="B163" s="32" t="str">
        <f>Source!F56</f>
        <v>Приказ ОДПС Сколково № 189 от 26.09.13г.</v>
      </c>
      <c r="C163" s="32" t="s">
        <v>541</v>
      </c>
      <c r="D163" s="33" t="str">
        <f>Source!H56</f>
        <v>м3</v>
      </c>
      <c r="E163" s="34">
        <f>Source!I56</f>
        <v>4.38</v>
      </c>
      <c r="F163" s="35">
        <f>Source!AL56</f>
        <v>12.08</v>
      </c>
      <c r="G163" s="36" t="str">
        <f>Source!DD56</f>
        <v/>
      </c>
      <c r="H163" s="35">
        <f>ROUND(Source!AC56*Source!I56, 2)</f>
        <v>52.91</v>
      </c>
      <c r="I163" s="36">
        <f>IF(Source!BC56&lt;&gt; 0, Source!BC56, 1)</f>
        <v>9.9700000000000006</v>
      </c>
      <c r="J163" s="35">
        <f>Source!P56</f>
        <v>527.52</v>
      </c>
      <c r="R163">
        <f>ROUND((Source!FX56/100)*((ROUND(Source!AF56*Source!I56, 2)+ROUND(Source!AE56*Source!I56, 2))), 2)</f>
        <v>0</v>
      </c>
      <c r="S163">
        <f>Source!X56</f>
        <v>0</v>
      </c>
      <c r="T163">
        <f>ROUND((Source!FY56/100)*((ROUND(Source!AF56*Source!I56, 2)+ROUND(Source!AE56*Source!I56, 2))), 2)</f>
        <v>0</v>
      </c>
      <c r="U163">
        <f>Source!Y56</f>
        <v>0</v>
      </c>
    </row>
    <row r="164" spans="1:21" ht="15" x14ac:dyDescent="0.25">
      <c r="C164" s="29" t="s">
        <v>503</v>
      </c>
      <c r="G164" s="42">
        <f>ROUND(Source!AC56*Source!I56, 2)+ROUND(Source!AF56*Source!I56, 2)+ROUND(Source!AD56*Source!I56, 2)</f>
        <v>52.91</v>
      </c>
      <c r="H164" s="42"/>
      <c r="I164" s="42">
        <f>Source!P56+Source!Q56+Source!S56</f>
        <v>527.52</v>
      </c>
      <c r="J164" s="42"/>
      <c r="O164">
        <f>G164</f>
        <v>52.91</v>
      </c>
      <c r="P164">
        <f>I164</f>
        <v>527.52</v>
      </c>
    </row>
    <row r="166" spans="1:21" ht="15" x14ac:dyDescent="0.25">
      <c r="A166" s="44" t="str">
        <f>CONCATENATE("Итого по разделу: ",IF(Source!G58&lt;&gt;"Новый раздел", Source!G58, ""))</f>
        <v>Итого по разделу: Строительно-монтажные работы</v>
      </c>
      <c r="B166" s="44"/>
      <c r="C166" s="44"/>
      <c r="D166" s="44"/>
      <c r="E166" s="44"/>
      <c r="F166" s="44"/>
      <c r="G166" s="42">
        <f>SUM(O32:O165)</f>
        <v>45386.719999999994</v>
      </c>
      <c r="H166" s="42"/>
      <c r="I166" s="42">
        <f>SUM(P32:P165)</f>
        <v>430487.99000000005</v>
      </c>
      <c r="J166" s="42"/>
    </row>
    <row r="168" spans="1:21" ht="14.25" x14ac:dyDescent="0.2">
      <c r="C168" s="45" t="str">
        <f>Source!H65</f>
        <v>Стоимость материалов заказчика</v>
      </c>
      <c r="D168" s="45"/>
      <c r="E168" s="45"/>
      <c r="F168" s="45"/>
      <c r="G168" s="45"/>
      <c r="H168" s="45"/>
      <c r="I168" s="43">
        <f>IF(Source!F65=0, "", Source!F65)</f>
        <v>154585.5</v>
      </c>
      <c r="J168" s="43"/>
    </row>
    <row r="169" spans="1:21" ht="14.25" x14ac:dyDescent="0.2">
      <c r="C169" s="24"/>
      <c r="D169" s="24"/>
      <c r="E169" s="24"/>
      <c r="F169" s="24"/>
      <c r="G169" s="24"/>
      <c r="H169" s="24"/>
      <c r="I169" s="19"/>
      <c r="J169" s="19"/>
    </row>
    <row r="170" spans="1:21" ht="14.25" customHeight="1" x14ac:dyDescent="0.25">
      <c r="A170" s="44" t="str">
        <f>Source!H86</f>
        <v>Итого по разделу без учета материалов Заказчика</v>
      </c>
      <c r="B170" s="44"/>
      <c r="C170" s="44"/>
      <c r="D170" s="44"/>
      <c r="E170" s="44"/>
      <c r="F170" s="44"/>
      <c r="I170" s="42">
        <f>IF(Source!F86=0, "", Source!F86)</f>
        <v>275902.49</v>
      </c>
      <c r="J170" s="42"/>
    </row>
    <row r="172" spans="1:21" ht="16.5" x14ac:dyDescent="0.25">
      <c r="A172" s="57" t="str">
        <f>CONCATENATE("Раздел: ",IF(Source!G88&lt;&gt;"Новый раздел", Source!G88, ""))</f>
        <v>Раздел: Демонтаж ИВРУ в районе СП-4</v>
      </c>
      <c r="B172" s="57"/>
      <c r="C172" s="57"/>
      <c r="D172" s="57"/>
      <c r="E172" s="57"/>
      <c r="F172" s="57"/>
      <c r="G172" s="57"/>
      <c r="H172" s="57"/>
      <c r="I172" s="57"/>
      <c r="J172" s="57"/>
    </row>
    <row r="173" spans="1:21" ht="300.75" x14ac:dyDescent="0.2">
      <c r="A173" s="25" t="str">
        <f>Source!E92</f>
        <v>22</v>
      </c>
      <c r="B173" s="26" t="s">
        <v>542</v>
      </c>
      <c r="C173" s="26" t="s">
        <v>543</v>
      </c>
      <c r="D173" s="27" t="str">
        <f>Source!H92</f>
        <v>ШТ</v>
      </c>
      <c r="E173" s="10">
        <f>Source!I92</f>
        <v>1</v>
      </c>
      <c r="F173" s="19"/>
      <c r="G173" s="28"/>
      <c r="H173" s="19"/>
      <c r="I173" s="28" t="str">
        <f>Source!BO92</f>
        <v>м08-03-572-07</v>
      </c>
      <c r="J173" s="19"/>
      <c r="R173">
        <f>ROUND((Source!FX92/100)*((ROUND(Source!AF92*Source!I92, 2)+ROUND(Source!AE92*Source!I92, 2))), 2)</f>
        <v>45.11</v>
      </c>
      <c r="S173">
        <f>Source!X92</f>
        <v>993.39</v>
      </c>
      <c r="T173">
        <f>ROUND((Source!FY92/100)*((ROUND(Source!AF92*Source!I92, 2)+ROUND(Source!AE92*Source!I92, 2))), 2)</f>
        <v>30.86</v>
      </c>
      <c r="U173">
        <f>Source!Y92</f>
        <v>637.73</v>
      </c>
    </row>
    <row r="174" spans="1:21" ht="14.25" x14ac:dyDescent="0.2">
      <c r="A174" s="25"/>
      <c r="B174" s="26"/>
      <c r="C174" s="26" t="s">
        <v>506</v>
      </c>
      <c r="D174" s="27"/>
      <c r="E174" s="10"/>
      <c r="F174" s="19">
        <f>Source!AO92</f>
        <v>46.23</v>
      </c>
      <c r="G174" s="28" t="str">
        <f>Source!DG92</f>
        <v>)*0,7)*1,2</v>
      </c>
      <c r="H174" s="19">
        <f>ROUND(Source!AF92*Source!I92, 2)</f>
        <v>38.83</v>
      </c>
      <c r="I174" s="28">
        <f>IF(Source!BA92&lt;&gt; 0, Source!BA92, 1)</f>
        <v>25.83</v>
      </c>
      <c r="J174" s="19">
        <f>Source!S92</f>
        <v>1002.98</v>
      </c>
      <c r="Q174">
        <f>ROUND(Source!AF92*Source!I92, 2)</f>
        <v>38.83</v>
      </c>
    </row>
    <row r="175" spans="1:21" ht="14.25" x14ac:dyDescent="0.2">
      <c r="A175" s="25"/>
      <c r="B175" s="26"/>
      <c r="C175" s="26" t="s">
        <v>507</v>
      </c>
      <c r="D175" s="27"/>
      <c r="E175" s="10"/>
      <c r="F175" s="19">
        <f>Source!AM92</f>
        <v>81.28</v>
      </c>
      <c r="G175" s="28" t="str">
        <f>Source!DE92</f>
        <v>)*0,7)*1,2</v>
      </c>
      <c r="H175" s="19">
        <f>ROUND(Source!AD92*Source!I92, 2)</f>
        <v>68.27</v>
      </c>
      <c r="I175" s="28">
        <f>IF(Source!BB92&lt;&gt; 0, Source!BB92, 1)</f>
        <v>9.26</v>
      </c>
      <c r="J175" s="19">
        <f>Source!Q92</f>
        <v>632.17999999999995</v>
      </c>
    </row>
    <row r="176" spans="1:21" ht="14.25" x14ac:dyDescent="0.2">
      <c r="A176" s="25"/>
      <c r="B176" s="26"/>
      <c r="C176" s="26" t="s">
        <v>508</v>
      </c>
      <c r="D176" s="27"/>
      <c r="E176" s="10"/>
      <c r="F176" s="19">
        <f>Source!AN92</f>
        <v>10.3</v>
      </c>
      <c r="G176" s="28" t="str">
        <f>Source!DF92</f>
        <v>)*0,7)*1,2</v>
      </c>
      <c r="H176" s="37">
        <f>ROUND(Source!AE92*Source!I92, 2)</f>
        <v>8.65</v>
      </c>
      <c r="I176" s="28">
        <f>IF(Source!BS92&lt;&gt; 0, Source!BS92, 1)</f>
        <v>25.83</v>
      </c>
      <c r="J176" s="37">
        <f>Source!R92</f>
        <v>223.43</v>
      </c>
      <c r="Q176">
        <f>ROUND(Source!AE92*Source!I92, 2)</f>
        <v>8.65</v>
      </c>
    </row>
    <row r="177" spans="1:21" ht="14.25" x14ac:dyDescent="0.2">
      <c r="A177" s="25"/>
      <c r="B177" s="26"/>
      <c r="C177" s="26" t="str">
        <f>CONCATENATE("НР от ФОТ [к тек. уровню ", Source!FV92, "]")</f>
        <v>НР от ФОТ [к тек. уровню *0,85]</v>
      </c>
      <c r="D177" s="27" t="s">
        <v>510</v>
      </c>
      <c r="E177" s="10">
        <f>Source!BZ92</f>
        <v>95</v>
      </c>
      <c r="F177" s="19"/>
      <c r="G177" s="28"/>
      <c r="H177" s="19">
        <f>SUM(R173:R176)</f>
        <v>45.11</v>
      </c>
      <c r="I177" s="28">
        <f>Source!AT92</f>
        <v>81</v>
      </c>
      <c r="J177" s="19">
        <f>SUM(S173:S176)</f>
        <v>993.39</v>
      </c>
    </row>
    <row r="178" spans="1:21" ht="14.25" x14ac:dyDescent="0.2">
      <c r="A178" s="25"/>
      <c r="B178" s="26"/>
      <c r="C178" s="26" t="str">
        <f>CONCATENATE("СП от ФОТ [к тек. уровню ", Source!FW92, "]")</f>
        <v>СП от ФОТ [к тек. уровню *0,8]</v>
      </c>
      <c r="D178" s="27" t="s">
        <v>510</v>
      </c>
      <c r="E178" s="10">
        <f>Source!CA92</f>
        <v>65</v>
      </c>
      <c r="F178" s="19"/>
      <c r="G178" s="28"/>
      <c r="H178" s="19">
        <f>SUM(T173:T177)</f>
        <v>30.86</v>
      </c>
      <c r="I178" s="28">
        <f>Source!AU92</f>
        <v>52</v>
      </c>
      <c r="J178" s="19">
        <f>SUM(U173:U177)</f>
        <v>637.73</v>
      </c>
    </row>
    <row r="179" spans="1:21" ht="14.25" x14ac:dyDescent="0.2">
      <c r="A179" s="31"/>
      <c r="B179" s="32"/>
      <c r="C179" s="32" t="s">
        <v>511</v>
      </c>
      <c r="D179" s="33" t="s">
        <v>512</v>
      </c>
      <c r="E179" s="34">
        <f>Source!AQ92</f>
        <v>4.66</v>
      </c>
      <c r="F179" s="35"/>
      <c r="G179" s="36" t="str">
        <f>Source!DI92</f>
        <v>)*0,7)*1,2</v>
      </c>
      <c r="H179" s="35">
        <f>Source!U92</f>
        <v>3.9143999999999997</v>
      </c>
      <c r="I179" s="36"/>
      <c r="J179" s="35"/>
    </row>
    <row r="180" spans="1:21" ht="15" x14ac:dyDescent="0.25">
      <c r="C180" s="29" t="s">
        <v>503</v>
      </c>
      <c r="G180" s="42">
        <f>ROUND(Source!AC92*Source!I92, 2)+ROUND(Source!AF92*Source!I92, 2)+ROUND(Source!AD92*Source!I92, 2)+SUM(H177:H178)</f>
        <v>183.07</v>
      </c>
      <c r="H180" s="42"/>
      <c r="I180" s="42">
        <f>Source!P92+Source!Q92+Source!S92+SUM(J177:J178)</f>
        <v>3266.2799999999997</v>
      </c>
      <c r="J180" s="42"/>
      <c r="O180" s="30">
        <f>G180</f>
        <v>183.07</v>
      </c>
      <c r="P180" s="30">
        <f>I180</f>
        <v>3266.2799999999997</v>
      </c>
    </row>
    <row r="181" spans="1:21" ht="272.25" x14ac:dyDescent="0.2">
      <c r="A181" s="25" t="str">
        <f>Source!E93</f>
        <v>23</v>
      </c>
      <c r="B181" s="26" t="s">
        <v>544</v>
      </c>
      <c r="C181" s="26" t="s">
        <v>545</v>
      </c>
      <c r="D181" s="27" t="str">
        <f>Source!H93</f>
        <v>100 ШТ</v>
      </c>
      <c r="E181" s="10">
        <f>Source!I93</f>
        <v>0.08</v>
      </c>
      <c r="F181" s="19"/>
      <c r="G181" s="28"/>
      <c r="H181" s="19"/>
      <c r="I181" s="28" t="str">
        <f>Source!BO93</f>
        <v>м08-02-144-05</v>
      </c>
      <c r="J181" s="19"/>
      <c r="R181">
        <f>ROUND((Source!FX93/100)*((ROUND(Source!AF93*Source!I93, 2)+ROUND(Source!AE93*Source!I93, 2))), 2)</f>
        <v>9.2799999999999994</v>
      </c>
      <c r="S181">
        <f>Source!X93</f>
        <v>204.5</v>
      </c>
      <c r="T181">
        <f>ROUND((Source!FY93/100)*((ROUND(Source!AF93*Source!I93, 2)+ROUND(Source!AE93*Source!I93, 2))), 2)</f>
        <v>6.35</v>
      </c>
      <c r="U181">
        <f>Source!Y93</f>
        <v>131.28</v>
      </c>
    </row>
    <row r="182" spans="1:21" ht="14.25" x14ac:dyDescent="0.2">
      <c r="A182" s="25"/>
      <c r="B182" s="26"/>
      <c r="C182" s="26" t="s">
        <v>506</v>
      </c>
      <c r="D182" s="27"/>
      <c r="E182" s="10"/>
      <c r="F182" s="19">
        <f>Source!AO93</f>
        <v>145.44999999999999</v>
      </c>
      <c r="G182" s="28" t="str">
        <f>Source!DG93</f>
        <v>)*0,7)*1,2</v>
      </c>
      <c r="H182" s="19">
        <f>ROUND(Source!AF93*Source!I93, 2)</f>
        <v>9.77</v>
      </c>
      <c r="I182" s="28">
        <f>IF(Source!BA93&lt;&gt; 0, Source!BA93, 1)</f>
        <v>25.83</v>
      </c>
      <c r="J182" s="19">
        <f>Source!S93</f>
        <v>252.47</v>
      </c>
      <c r="Q182">
        <f>ROUND(Source!AF93*Source!I93, 2)</f>
        <v>9.77</v>
      </c>
    </row>
    <row r="183" spans="1:21" ht="14.25" x14ac:dyDescent="0.2">
      <c r="A183" s="25"/>
      <c r="B183" s="26"/>
      <c r="C183" s="26" t="str">
        <f>CONCATENATE("НР от ФОТ [к тек. уровню ", Source!FV93, "]")</f>
        <v>НР от ФОТ [к тек. уровню *0,85]</v>
      </c>
      <c r="D183" s="27" t="s">
        <v>510</v>
      </c>
      <c r="E183" s="10">
        <f>Source!BZ93</f>
        <v>95</v>
      </c>
      <c r="F183" s="19"/>
      <c r="G183" s="28"/>
      <c r="H183" s="19">
        <f>SUM(R181:R182)</f>
        <v>9.2799999999999994</v>
      </c>
      <c r="I183" s="28">
        <f>Source!AT93</f>
        <v>81</v>
      </c>
      <c r="J183" s="19">
        <f>SUM(S181:S182)</f>
        <v>204.5</v>
      </c>
    </row>
    <row r="184" spans="1:21" ht="14.25" x14ac:dyDescent="0.2">
      <c r="A184" s="25"/>
      <c r="B184" s="26"/>
      <c r="C184" s="26" t="str">
        <f>CONCATENATE("СП от ФОТ [к тек. уровню ", Source!FW93, "]")</f>
        <v>СП от ФОТ [к тек. уровню *0,8]</v>
      </c>
      <c r="D184" s="27" t="s">
        <v>510</v>
      </c>
      <c r="E184" s="10">
        <f>Source!CA93</f>
        <v>65</v>
      </c>
      <c r="F184" s="19"/>
      <c r="G184" s="28"/>
      <c r="H184" s="19">
        <f>SUM(T181:T183)</f>
        <v>6.35</v>
      </c>
      <c r="I184" s="28">
        <f>Source!AU93</f>
        <v>52</v>
      </c>
      <c r="J184" s="19">
        <f>SUM(U181:U183)</f>
        <v>131.28</v>
      </c>
    </row>
    <row r="185" spans="1:21" ht="14.25" x14ac:dyDescent="0.2">
      <c r="A185" s="31"/>
      <c r="B185" s="32"/>
      <c r="C185" s="32" t="s">
        <v>511</v>
      </c>
      <c r="D185" s="33" t="s">
        <v>512</v>
      </c>
      <c r="E185" s="34">
        <f>Source!AQ93</f>
        <v>15.12</v>
      </c>
      <c r="F185" s="35"/>
      <c r="G185" s="36" t="str">
        <f>Source!DI93</f>
        <v>)*0,7)*1,2</v>
      </c>
      <c r="H185" s="35">
        <f>Source!U93</f>
        <v>1.0160639999999999</v>
      </c>
      <c r="I185" s="36"/>
      <c r="J185" s="35"/>
    </row>
    <row r="186" spans="1:21" ht="15" x14ac:dyDescent="0.25">
      <c r="C186" s="29" t="s">
        <v>503</v>
      </c>
      <c r="G186" s="42">
        <f>ROUND(Source!AC93*Source!I93, 2)+ROUND(Source!AF93*Source!I93, 2)+ROUND(Source!AD93*Source!I93, 2)+SUM(H183:H184)</f>
        <v>25.4</v>
      </c>
      <c r="H186" s="42"/>
      <c r="I186" s="42">
        <f>Source!P93+Source!Q93+Source!S93+SUM(J183:J184)</f>
        <v>588.25</v>
      </c>
      <c r="J186" s="42"/>
      <c r="O186" s="30">
        <f>G186</f>
        <v>25.4</v>
      </c>
      <c r="P186" s="30">
        <f>I186</f>
        <v>588.25</v>
      </c>
    </row>
    <row r="187" spans="1:21" ht="221.25" x14ac:dyDescent="0.2">
      <c r="A187" s="25" t="str">
        <f>Source!E94</f>
        <v>24</v>
      </c>
      <c r="B187" s="26" t="s">
        <v>546</v>
      </c>
      <c r="C187" s="26" t="s">
        <v>547</v>
      </c>
      <c r="D187" s="27" t="str">
        <f>Source!H94</f>
        <v>100 ШТ</v>
      </c>
      <c r="E187" s="10">
        <f>Source!I94</f>
        <v>0.05</v>
      </c>
      <c r="F187" s="19"/>
      <c r="G187" s="28"/>
      <c r="H187" s="19"/>
      <c r="I187" s="28" t="str">
        <f>Source!BO94</f>
        <v>09-08-001-01</v>
      </c>
      <c r="J187" s="19"/>
      <c r="R187">
        <f>ROUND((Source!FX94/100)*((ROUND(Source!AF94*Source!I94, 2)+ROUND(Source!AE94*Source!I94, 2))), 2)</f>
        <v>22.12</v>
      </c>
      <c r="S187">
        <f>Source!X94</f>
        <v>488.83</v>
      </c>
      <c r="T187">
        <f>ROUND((Source!FY94/100)*((ROUND(Source!AF94*Source!I94, 2)+ROUND(Source!AE94*Source!I94, 2))), 2)</f>
        <v>20.89</v>
      </c>
      <c r="U187">
        <f>Source!Y94</f>
        <v>431.7</v>
      </c>
    </row>
    <row r="188" spans="1:21" ht="14.25" x14ac:dyDescent="0.2">
      <c r="A188" s="25"/>
      <c r="B188" s="26"/>
      <c r="C188" s="26" t="s">
        <v>506</v>
      </c>
      <c r="D188" s="27"/>
      <c r="E188" s="10"/>
      <c r="F188" s="19">
        <f>Source!AO94</f>
        <v>304.01</v>
      </c>
      <c r="G188" s="28" t="str">
        <f>Source!DG94</f>
        <v>)*0,7)*1,2</v>
      </c>
      <c r="H188" s="19">
        <f>ROUND(Source!AF94*Source!I94, 2)</f>
        <v>12.77</v>
      </c>
      <c r="I188" s="28">
        <f>IF(Source!BA94&lt;&gt; 0, Source!BA94, 1)</f>
        <v>25.83</v>
      </c>
      <c r="J188" s="19">
        <f>Source!S94</f>
        <v>329.81</v>
      </c>
      <c r="Q188">
        <f>ROUND(Source!AF94*Source!I94, 2)</f>
        <v>12.77</v>
      </c>
    </row>
    <row r="189" spans="1:21" ht="14.25" x14ac:dyDescent="0.2">
      <c r="A189" s="25"/>
      <c r="B189" s="26"/>
      <c r="C189" s="26" t="s">
        <v>507</v>
      </c>
      <c r="D189" s="27"/>
      <c r="E189" s="10"/>
      <c r="F189" s="19">
        <f>Source!AM94</f>
        <v>3430.97</v>
      </c>
      <c r="G189" s="28" t="str">
        <f>Source!DE94</f>
        <v>)*0,7)*1,2</v>
      </c>
      <c r="H189" s="19">
        <f>ROUND(Source!AD94*Source!I94, 2)</f>
        <v>144.1</v>
      </c>
      <c r="I189" s="28">
        <f>IF(Source!BB94&lt;&gt; 0, Source!BB94, 1)</f>
        <v>5.74</v>
      </c>
      <c r="J189" s="19">
        <f>Source!Q94</f>
        <v>827.14</v>
      </c>
    </row>
    <row r="190" spans="1:21" ht="14.25" x14ac:dyDescent="0.2">
      <c r="A190" s="25"/>
      <c r="B190" s="26"/>
      <c r="C190" s="26" t="s">
        <v>508</v>
      </c>
      <c r="D190" s="27"/>
      <c r="E190" s="10"/>
      <c r="F190" s="19">
        <f>Source!AN94</f>
        <v>281.18</v>
      </c>
      <c r="G190" s="28" t="str">
        <f>Source!DF94</f>
        <v>)*0,7)*1,2</v>
      </c>
      <c r="H190" s="37">
        <f>ROUND(Source!AE94*Source!I94, 2)</f>
        <v>11.81</v>
      </c>
      <c r="I190" s="28">
        <f>IF(Source!BS94&lt;&gt; 0, Source!BS94, 1)</f>
        <v>25.83</v>
      </c>
      <c r="J190" s="37">
        <f>Source!R94</f>
        <v>305.04000000000002</v>
      </c>
      <c r="Q190">
        <f>ROUND(Source!AE94*Source!I94, 2)</f>
        <v>11.81</v>
      </c>
    </row>
    <row r="191" spans="1:21" ht="14.25" x14ac:dyDescent="0.2">
      <c r="A191" s="25"/>
      <c r="B191" s="26"/>
      <c r="C191" s="26" t="str">
        <f>CONCATENATE("НР от ФОТ [к тек. уровню ", Source!FV94, "]")</f>
        <v>НР от ФОТ [к тек. уровню *0,85]</v>
      </c>
      <c r="D191" s="27" t="s">
        <v>510</v>
      </c>
      <c r="E191" s="10">
        <f>Source!BZ94</f>
        <v>90</v>
      </c>
      <c r="F191" s="19"/>
      <c r="G191" s="28"/>
      <c r="H191" s="19">
        <f>SUM(R187:R190)</f>
        <v>22.12</v>
      </c>
      <c r="I191" s="28">
        <f>Source!AT94</f>
        <v>77</v>
      </c>
      <c r="J191" s="19">
        <f>SUM(S187:S190)</f>
        <v>488.83</v>
      </c>
    </row>
    <row r="192" spans="1:21" ht="14.25" x14ac:dyDescent="0.2">
      <c r="A192" s="25"/>
      <c r="B192" s="26"/>
      <c r="C192" s="26" t="str">
        <f>CONCATENATE("СП от ФОТ [к тек. уровню ", Source!FW94, "]")</f>
        <v>СП от ФОТ [к тек. уровню *0,8]</v>
      </c>
      <c r="D192" s="27" t="s">
        <v>510</v>
      </c>
      <c r="E192" s="10">
        <f>Source!CA94</f>
        <v>85</v>
      </c>
      <c r="F192" s="19"/>
      <c r="G192" s="28"/>
      <c r="H192" s="19">
        <f>SUM(T187:T191)</f>
        <v>20.89</v>
      </c>
      <c r="I192" s="28">
        <f>Source!AU94</f>
        <v>68</v>
      </c>
      <c r="J192" s="19">
        <f>SUM(U187:U191)</f>
        <v>431.7</v>
      </c>
    </row>
    <row r="193" spans="1:21" ht="14.25" x14ac:dyDescent="0.2">
      <c r="A193" s="31"/>
      <c r="B193" s="32"/>
      <c r="C193" s="32" t="s">
        <v>511</v>
      </c>
      <c r="D193" s="33" t="s">
        <v>512</v>
      </c>
      <c r="E193" s="34">
        <f>Source!AQ94</f>
        <v>35.64</v>
      </c>
      <c r="F193" s="35"/>
      <c r="G193" s="36" t="str">
        <f>Source!DI94</f>
        <v>)*0,7)*1,2</v>
      </c>
      <c r="H193" s="35">
        <f>Source!U94</f>
        <v>1.49688</v>
      </c>
      <c r="I193" s="36"/>
      <c r="J193" s="35"/>
    </row>
    <row r="194" spans="1:21" ht="15" x14ac:dyDescent="0.25">
      <c r="C194" s="29" t="s">
        <v>503</v>
      </c>
      <c r="G194" s="42">
        <f>ROUND(Source!AC94*Source!I94, 2)+ROUND(Source!AF94*Source!I94, 2)+ROUND(Source!AD94*Source!I94, 2)+SUM(H191:H192)</f>
        <v>199.88</v>
      </c>
      <c r="H194" s="42"/>
      <c r="I194" s="42">
        <f>Source!P94+Source!Q94+Source!S94+SUM(J191:J192)</f>
        <v>2077.48</v>
      </c>
      <c r="J194" s="42"/>
      <c r="O194" s="30">
        <f>G194</f>
        <v>199.88</v>
      </c>
      <c r="P194" s="30">
        <f>I194</f>
        <v>2077.48</v>
      </c>
    </row>
    <row r="195" spans="1:21" ht="221.25" x14ac:dyDescent="0.2">
      <c r="A195" s="25" t="str">
        <f>Source!E95</f>
        <v>25</v>
      </c>
      <c r="B195" s="26" t="s">
        <v>548</v>
      </c>
      <c r="C195" s="26" t="s">
        <v>549</v>
      </c>
      <c r="D195" s="27" t="str">
        <f>Source!H95</f>
        <v>10 ШТ</v>
      </c>
      <c r="E195" s="10">
        <f>Source!I95</f>
        <v>0.3</v>
      </c>
      <c r="F195" s="19"/>
      <c r="G195" s="28"/>
      <c r="H195" s="19"/>
      <c r="I195" s="28" t="str">
        <f>Source!BO95</f>
        <v>09-08-002-05</v>
      </c>
      <c r="J195" s="19"/>
      <c r="R195">
        <f>ROUND((Source!FX95/100)*((ROUND(Source!AF95*Source!I95, 2)+ROUND(Source!AE95*Source!I95, 2))), 2)</f>
        <v>15.55</v>
      </c>
      <c r="S195">
        <f>Source!X95</f>
        <v>343.57</v>
      </c>
      <c r="T195">
        <f>ROUND((Source!FY95/100)*((ROUND(Source!AF95*Source!I95, 2)+ROUND(Source!AE95*Source!I95, 2))), 2)</f>
        <v>14.69</v>
      </c>
      <c r="U195">
        <f>Source!Y95</f>
        <v>303.41000000000003</v>
      </c>
    </row>
    <row r="196" spans="1:21" ht="14.25" x14ac:dyDescent="0.2">
      <c r="A196" s="25"/>
      <c r="B196" s="26"/>
      <c r="C196" s="26" t="s">
        <v>506</v>
      </c>
      <c r="D196" s="27"/>
      <c r="E196" s="10"/>
      <c r="F196" s="19">
        <f>Source!AO95</f>
        <v>60.65</v>
      </c>
      <c r="G196" s="28" t="str">
        <f>Source!DG95</f>
        <v>)*0,7)*1,2</v>
      </c>
      <c r="H196" s="19">
        <f>ROUND(Source!AF95*Source!I95, 2)</f>
        <v>15.29</v>
      </c>
      <c r="I196" s="28">
        <f>IF(Source!BA95&lt;&gt; 0, Source!BA95, 1)</f>
        <v>25.83</v>
      </c>
      <c r="J196" s="19">
        <f>Source!S95</f>
        <v>394.81</v>
      </c>
      <c r="Q196">
        <f>ROUND(Source!AF95*Source!I95, 2)</f>
        <v>15.29</v>
      </c>
    </row>
    <row r="197" spans="1:21" ht="14.25" x14ac:dyDescent="0.2">
      <c r="A197" s="25"/>
      <c r="B197" s="26"/>
      <c r="C197" s="26" t="s">
        <v>507</v>
      </c>
      <c r="D197" s="27"/>
      <c r="E197" s="10"/>
      <c r="F197" s="19">
        <f>Source!AM95</f>
        <v>19.940000000000001</v>
      </c>
      <c r="G197" s="28" t="str">
        <f>Source!DE95</f>
        <v>)*0,7)*1,2</v>
      </c>
      <c r="H197" s="19">
        <f>ROUND(Source!AD95*Source!I95, 2)</f>
        <v>5.03</v>
      </c>
      <c r="I197" s="28">
        <f>IF(Source!BB95&lt;&gt; 0, Source!BB95, 1)</f>
        <v>15.05</v>
      </c>
      <c r="J197" s="19">
        <f>Source!Q95</f>
        <v>75.63</v>
      </c>
    </row>
    <row r="198" spans="1:21" ht="14.25" x14ac:dyDescent="0.2">
      <c r="A198" s="25"/>
      <c r="B198" s="26"/>
      <c r="C198" s="26" t="s">
        <v>508</v>
      </c>
      <c r="D198" s="27"/>
      <c r="E198" s="10"/>
      <c r="F198" s="19">
        <f>Source!AN95</f>
        <v>7.89</v>
      </c>
      <c r="G198" s="28" t="str">
        <f>Source!DF95</f>
        <v>)*0,7)*1,2</v>
      </c>
      <c r="H198" s="37">
        <f>ROUND(Source!AE95*Source!I95, 2)</f>
        <v>1.99</v>
      </c>
      <c r="I198" s="28">
        <f>IF(Source!BS95&lt;&gt; 0, Source!BS95, 1)</f>
        <v>25.83</v>
      </c>
      <c r="J198" s="37">
        <f>Source!R95</f>
        <v>51.38</v>
      </c>
      <c r="Q198">
        <f>ROUND(Source!AE95*Source!I95, 2)</f>
        <v>1.99</v>
      </c>
    </row>
    <row r="199" spans="1:21" ht="14.25" x14ac:dyDescent="0.2">
      <c r="A199" s="25"/>
      <c r="B199" s="26"/>
      <c r="C199" s="26" t="str">
        <f>CONCATENATE("НР от ФОТ [к тек. уровню ", Source!FV95, "]")</f>
        <v>НР от ФОТ [к тек. уровню *0,85]</v>
      </c>
      <c r="D199" s="27" t="s">
        <v>510</v>
      </c>
      <c r="E199" s="10">
        <f>Source!BZ95</f>
        <v>90</v>
      </c>
      <c r="F199" s="19"/>
      <c r="G199" s="28"/>
      <c r="H199" s="19">
        <f>SUM(R195:R198)</f>
        <v>15.55</v>
      </c>
      <c r="I199" s="28">
        <f>Source!AT95</f>
        <v>77</v>
      </c>
      <c r="J199" s="19">
        <f>SUM(S195:S198)</f>
        <v>343.57</v>
      </c>
    </row>
    <row r="200" spans="1:21" ht="14.25" x14ac:dyDescent="0.2">
      <c r="A200" s="25"/>
      <c r="B200" s="26"/>
      <c r="C200" s="26" t="str">
        <f>CONCATENATE("СП от ФОТ [к тек. уровню ", Source!FW95, "]")</f>
        <v>СП от ФОТ [к тек. уровню *0,8]</v>
      </c>
      <c r="D200" s="27" t="s">
        <v>510</v>
      </c>
      <c r="E200" s="10">
        <f>Source!CA95</f>
        <v>85</v>
      </c>
      <c r="F200" s="19"/>
      <c r="G200" s="28"/>
      <c r="H200" s="19">
        <f>SUM(T195:T199)</f>
        <v>14.69</v>
      </c>
      <c r="I200" s="28">
        <f>Source!AU95</f>
        <v>68</v>
      </c>
      <c r="J200" s="19">
        <f>SUM(U195:U199)</f>
        <v>303.41000000000003</v>
      </c>
    </row>
    <row r="201" spans="1:21" ht="14.25" x14ac:dyDescent="0.2">
      <c r="A201" s="31"/>
      <c r="B201" s="32"/>
      <c r="C201" s="32" t="s">
        <v>511</v>
      </c>
      <c r="D201" s="33" t="s">
        <v>512</v>
      </c>
      <c r="E201" s="34">
        <f>Source!AQ95</f>
        <v>7.11</v>
      </c>
      <c r="F201" s="35"/>
      <c r="G201" s="36" t="str">
        <f>Source!DI95</f>
        <v>)*0,7)*1,2</v>
      </c>
      <c r="H201" s="35">
        <f>Source!U95</f>
        <v>1.79172</v>
      </c>
      <c r="I201" s="36"/>
      <c r="J201" s="35"/>
    </row>
    <row r="202" spans="1:21" ht="15" x14ac:dyDescent="0.25">
      <c r="C202" s="29" t="s">
        <v>503</v>
      </c>
      <c r="G202" s="42">
        <f>ROUND(Source!AC95*Source!I95, 2)+ROUND(Source!AF95*Source!I95, 2)+ROUND(Source!AD95*Source!I95, 2)+SUM(H199:H200)</f>
        <v>50.56</v>
      </c>
      <c r="H202" s="42"/>
      <c r="I202" s="42">
        <f>Source!P95+Source!Q95+Source!S95+SUM(J199:J200)</f>
        <v>1117.42</v>
      </c>
      <c r="J202" s="42"/>
      <c r="O202" s="30">
        <f>G202</f>
        <v>50.56</v>
      </c>
      <c r="P202" s="30">
        <f>I202</f>
        <v>1117.42</v>
      </c>
    </row>
    <row r="203" spans="1:21" ht="207" x14ac:dyDescent="0.2">
      <c r="A203" s="25" t="str">
        <f>Source!E96</f>
        <v>26</v>
      </c>
      <c r="B203" s="26" t="s">
        <v>550</v>
      </c>
      <c r="C203" s="26" t="s">
        <v>551</v>
      </c>
      <c r="D203" s="27" t="str">
        <f>Source!H96</f>
        <v>10 ШТ</v>
      </c>
      <c r="E203" s="10">
        <f>Source!I96</f>
        <v>0.1</v>
      </c>
      <c r="F203" s="19"/>
      <c r="G203" s="28"/>
      <c r="H203" s="19"/>
      <c r="I203" s="28" t="str">
        <f>Source!BO96</f>
        <v>09-08-002-07</v>
      </c>
      <c r="J203" s="19"/>
      <c r="R203">
        <f>ROUND((Source!FX96/100)*((ROUND(Source!AF96*Source!I96, 2)+ROUND(Source!AE96*Source!I96, 2))), 2)</f>
        <v>2.48</v>
      </c>
      <c r="S203">
        <f>Source!X96</f>
        <v>54.91</v>
      </c>
      <c r="T203">
        <f>ROUND((Source!FY96/100)*((ROUND(Source!AF96*Source!I96, 2)+ROUND(Source!AE96*Source!I96, 2))), 2)</f>
        <v>2.35</v>
      </c>
      <c r="U203">
        <f>Source!Y96</f>
        <v>48.49</v>
      </c>
    </row>
    <row r="204" spans="1:21" ht="14.25" x14ac:dyDescent="0.2">
      <c r="A204" s="25"/>
      <c r="B204" s="26"/>
      <c r="C204" s="26" t="s">
        <v>506</v>
      </c>
      <c r="D204" s="27"/>
      <c r="E204" s="10"/>
      <c r="F204" s="19">
        <f>Source!AO96</f>
        <v>28.23</v>
      </c>
      <c r="G204" s="28" t="str">
        <f>Source!DG96</f>
        <v>)*0,7)*1,2</v>
      </c>
      <c r="H204" s="19">
        <f>ROUND(Source!AF96*Source!I96, 2)</f>
        <v>2.37</v>
      </c>
      <c r="I204" s="28">
        <f>IF(Source!BA96&lt;&gt; 0, Source!BA96, 1)</f>
        <v>25.83</v>
      </c>
      <c r="J204" s="19">
        <f>Source!S96</f>
        <v>61.24</v>
      </c>
      <c r="Q204">
        <f>ROUND(Source!AF96*Source!I96, 2)</f>
        <v>2.37</v>
      </c>
    </row>
    <row r="205" spans="1:21" ht="14.25" x14ac:dyDescent="0.2">
      <c r="A205" s="25"/>
      <c r="B205" s="26"/>
      <c r="C205" s="26" t="s">
        <v>507</v>
      </c>
      <c r="D205" s="27"/>
      <c r="E205" s="10"/>
      <c r="F205" s="19">
        <f>Source!AM96</f>
        <v>14.13</v>
      </c>
      <c r="G205" s="28" t="str">
        <f>Source!DE96</f>
        <v>)*0,7)*1,2</v>
      </c>
      <c r="H205" s="19">
        <f>ROUND(Source!AD96*Source!I96, 2)</f>
        <v>1.19</v>
      </c>
      <c r="I205" s="28">
        <f>IF(Source!BB96&lt;&gt; 0, Source!BB96, 1)</f>
        <v>14.21</v>
      </c>
      <c r="J205" s="19">
        <f>Source!Q96</f>
        <v>16.87</v>
      </c>
    </row>
    <row r="206" spans="1:21" ht="14.25" x14ac:dyDescent="0.2">
      <c r="A206" s="25"/>
      <c r="B206" s="26"/>
      <c r="C206" s="26" t="s">
        <v>508</v>
      </c>
      <c r="D206" s="27"/>
      <c r="E206" s="10"/>
      <c r="F206" s="19">
        <f>Source!AN96</f>
        <v>4.6399999999999997</v>
      </c>
      <c r="G206" s="28" t="str">
        <f>Source!DF96</f>
        <v>)*0,7)*1,2</v>
      </c>
      <c r="H206" s="37">
        <f>ROUND(Source!AE96*Source!I96, 2)</f>
        <v>0.39</v>
      </c>
      <c r="I206" s="28">
        <f>IF(Source!BS96&lt;&gt; 0, Source!BS96, 1)</f>
        <v>25.83</v>
      </c>
      <c r="J206" s="37">
        <f>Source!R96</f>
        <v>10.07</v>
      </c>
      <c r="Q206">
        <f>ROUND(Source!AE96*Source!I96, 2)</f>
        <v>0.39</v>
      </c>
    </row>
    <row r="207" spans="1:21" ht="14.25" x14ac:dyDescent="0.2">
      <c r="A207" s="25"/>
      <c r="B207" s="26"/>
      <c r="C207" s="26" t="str">
        <f>CONCATENATE("НР от ФОТ [к тек. уровню ", Source!FV96, "]")</f>
        <v>НР от ФОТ [к тек. уровню *0,85]</v>
      </c>
      <c r="D207" s="27" t="s">
        <v>510</v>
      </c>
      <c r="E207" s="10">
        <f>Source!BZ96</f>
        <v>90</v>
      </c>
      <c r="F207" s="19"/>
      <c r="G207" s="28"/>
      <c r="H207" s="19">
        <f>SUM(R203:R206)</f>
        <v>2.48</v>
      </c>
      <c r="I207" s="28">
        <f>Source!AT96</f>
        <v>77</v>
      </c>
      <c r="J207" s="19">
        <f>SUM(S203:S206)</f>
        <v>54.91</v>
      </c>
    </row>
    <row r="208" spans="1:21" ht="14.25" x14ac:dyDescent="0.2">
      <c r="A208" s="25"/>
      <c r="B208" s="26"/>
      <c r="C208" s="26" t="str">
        <f>CONCATENATE("СП от ФОТ [к тек. уровню ", Source!FW96, "]")</f>
        <v>СП от ФОТ [к тек. уровню *0,8]</v>
      </c>
      <c r="D208" s="27" t="s">
        <v>510</v>
      </c>
      <c r="E208" s="10">
        <f>Source!CA96</f>
        <v>85</v>
      </c>
      <c r="F208" s="19"/>
      <c r="G208" s="28"/>
      <c r="H208" s="19">
        <f>SUM(T203:T207)</f>
        <v>2.35</v>
      </c>
      <c r="I208" s="28">
        <f>Source!AU96</f>
        <v>68</v>
      </c>
      <c r="J208" s="19">
        <f>SUM(U203:U207)</f>
        <v>48.49</v>
      </c>
    </row>
    <row r="209" spans="1:32" ht="14.25" x14ac:dyDescent="0.2">
      <c r="A209" s="31"/>
      <c r="B209" s="32"/>
      <c r="C209" s="32" t="s">
        <v>511</v>
      </c>
      <c r="D209" s="33" t="s">
        <v>512</v>
      </c>
      <c r="E209" s="34">
        <f>Source!AQ96</f>
        <v>3.31</v>
      </c>
      <c r="F209" s="35"/>
      <c r="G209" s="36" t="str">
        <f>Source!DI96</f>
        <v>)*0,7)*1,2</v>
      </c>
      <c r="H209" s="35">
        <f>Source!U96</f>
        <v>0.27804000000000001</v>
      </c>
      <c r="I209" s="36"/>
      <c r="J209" s="35"/>
    </row>
    <row r="210" spans="1:32" ht="15" x14ac:dyDescent="0.25">
      <c r="C210" s="29" t="s">
        <v>503</v>
      </c>
      <c r="G210" s="42">
        <f>ROUND(Source!AC96*Source!I96, 2)+ROUND(Source!AF96*Source!I96, 2)+ROUND(Source!AD96*Source!I96, 2)+SUM(H207:H208)</f>
        <v>8.39</v>
      </c>
      <c r="H210" s="42"/>
      <c r="I210" s="42">
        <f>Source!P96+Source!Q96+Source!S96+SUM(J207:J208)</f>
        <v>181.51</v>
      </c>
      <c r="J210" s="42"/>
      <c r="O210" s="30">
        <f>G210</f>
        <v>8.39</v>
      </c>
      <c r="P210" s="30">
        <f>I210</f>
        <v>181.51</v>
      </c>
    </row>
    <row r="211" spans="1:32" ht="57" x14ac:dyDescent="0.2">
      <c r="A211" s="31" t="str">
        <f>Source!E97</f>
        <v>27</v>
      </c>
      <c r="B211" s="32" t="str">
        <f>Source!F97</f>
        <v>т01-01-01-014</v>
      </c>
      <c r="C211" s="32" t="str">
        <f>Source!G97</f>
        <v>Погрузочные работы при автомобильных перевозках изделий металлических (армокаркасы, заготовки трубные и др.)</v>
      </c>
      <c r="D211" s="33" t="str">
        <f>Source!H97</f>
        <v>1 Т ГРУЗА</v>
      </c>
      <c r="E211" s="34">
        <f>Source!I97</f>
        <v>6.7000000000000004E-2</v>
      </c>
      <c r="F211" s="35">
        <f>Source!AK97</f>
        <v>8.36</v>
      </c>
      <c r="G211" s="36" t="str">
        <f>Source!DC97</f>
        <v/>
      </c>
      <c r="H211" s="35">
        <f>ROUND(Source!AB97*Source!I97, 2)</f>
        <v>0.56000000000000005</v>
      </c>
      <c r="I211" s="36">
        <f>Source!AZ97</f>
        <v>14.49</v>
      </c>
      <c r="J211" s="35">
        <f>Source!GM97</f>
        <v>8.1199999999999992</v>
      </c>
      <c r="R211">
        <f>ROUND((Source!FX97/100)*((ROUND(0*Source!I97, 2)+ROUND(0*Source!I97, 2))), 2)</f>
        <v>0</v>
      </c>
      <c r="S211">
        <f>Source!X97</f>
        <v>0</v>
      </c>
      <c r="T211">
        <f>ROUND((Source!FY97/100)*((ROUND(0*Source!I97, 2)+ROUND(0*Source!I97, 2))), 2)</f>
        <v>0</v>
      </c>
      <c r="U211">
        <f>Source!Y97</f>
        <v>0</v>
      </c>
    </row>
    <row r="212" spans="1:32" ht="15" x14ac:dyDescent="0.25">
      <c r="C212" s="29" t="s">
        <v>503</v>
      </c>
      <c r="G212" s="42">
        <f>H211</f>
        <v>0.56000000000000005</v>
      </c>
      <c r="H212" s="42"/>
      <c r="I212" s="42">
        <f>J211</f>
        <v>8.1199999999999992</v>
      </c>
      <c r="J212" s="42"/>
      <c r="O212" s="30">
        <f>G212</f>
        <v>0.56000000000000005</v>
      </c>
      <c r="P212" s="30">
        <f>I212</f>
        <v>8.1199999999999992</v>
      </c>
    </row>
    <row r="213" spans="1:32" ht="57" x14ac:dyDescent="0.2">
      <c r="A213" s="31" t="str">
        <f>Source!E98</f>
        <v>28</v>
      </c>
      <c r="B213" s="32" t="str">
        <f>Source!F98</f>
        <v>т01-01-01-015</v>
      </c>
      <c r="C213" s="32" t="str">
        <f>Source!G98</f>
        <v>Погрузочные работы при автомобильных перевозках металлических конструкций массой до 1 т (распределительный шкаф)</v>
      </c>
      <c r="D213" s="33" t="str">
        <f>Source!H98</f>
        <v>1 Т ГРУЗА</v>
      </c>
      <c r="E213" s="34">
        <f>Source!I98</f>
        <v>0.09</v>
      </c>
      <c r="F213" s="35">
        <f>Source!AK98</f>
        <v>22.33</v>
      </c>
      <c r="G213" s="36" t="str">
        <f>Source!DC98</f>
        <v/>
      </c>
      <c r="H213" s="35">
        <f>ROUND(Source!AB98*Source!I98, 2)</f>
        <v>2.0099999999999998</v>
      </c>
      <c r="I213" s="36">
        <f>Source!AZ98</f>
        <v>14.32</v>
      </c>
      <c r="J213" s="35">
        <f>Source!GM98</f>
        <v>28.78</v>
      </c>
      <c r="R213">
        <f>ROUND((Source!FX98/100)*((ROUND(0*Source!I98, 2)+ROUND(0*Source!I98, 2))), 2)</f>
        <v>0</v>
      </c>
      <c r="S213">
        <f>Source!X98</f>
        <v>0</v>
      </c>
      <c r="T213">
        <f>ROUND((Source!FY98/100)*((ROUND(0*Source!I98, 2)+ROUND(0*Source!I98, 2))), 2)</f>
        <v>0</v>
      </c>
      <c r="U213">
        <f>Source!Y98</f>
        <v>0</v>
      </c>
    </row>
    <row r="214" spans="1:32" ht="15" x14ac:dyDescent="0.25">
      <c r="C214" s="29" t="s">
        <v>503</v>
      </c>
      <c r="G214" s="42">
        <f>H213</f>
        <v>2.0099999999999998</v>
      </c>
      <c r="H214" s="42"/>
      <c r="I214" s="42">
        <f>J213</f>
        <v>28.78</v>
      </c>
      <c r="J214" s="42"/>
      <c r="O214" s="30">
        <f>G214</f>
        <v>2.0099999999999998</v>
      </c>
      <c r="P214" s="30">
        <f>I214</f>
        <v>28.78</v>
      </c>
    </row>
    <row r="215" spans="1:32" ht="57" x14ac:dyDescent="0.2">
      <c r="A215" s="31" t="str">
        <f>Source!E99</f>
        <v>29</v>
      </c>
      <c r="B215" s="32" t="str">
        <f>Source!F99</f>
        <v>т03-01-01-002</v>
      </c>
      <c r="C215" s="32" t="str">
        <f>Source!G99</f>
        <v>Перевозка грузов I класса автомобилями бортовыми грузоподъемностью до 15 т на расстояние до 2 км</v>
      </c>
      <c r="D215" s="33" t="str">
        <f>Source!H99</f>
        <v>1 Т ГРУЗА</v>
      </c>
      <c r="E215" s="34">
        <f>Source!I99</f>
        <v>0.157</v>
      </c>
      <c r="F215" s="35">
        <f>Source!AK99</f>
        <v>7.37</v>
      </c>
      <c r="G215" s="36" t="str">
        <f>Source!DC99</f>
        <v/>
      </c>
      <c r="H215" s="35">
        <f>ROUND(Source!AB99*Source!I99, 2)</f>
        <v>1.1599999999999999</v>
      </c>
      <c r="I215" s="36">
        <f>Source!AZ99</f>
        <v>8.3800000000000008</v>
      </c>
      <c r="J215" s="35">
        <f>Source!GM99</f>
        <v>9.6999999999999993</v>
      </c>
      <c r="R215">
        <f>ROUND((Source!FX99/100)*((ROUND(0*Source!I99, 2)+ROUND(0*Source!I99, 2))), 2)</f>
        <v>0</v>
      </c>
      <c r="S215">
        <f>Source!X99</f>
        <v>0</v>
      </c>
      <c r="T215">
        <f>ROUND((Source!FY99/100)*((ROUND(0*Source!I99, 2)+ROUND(0*Source!I99, 2))), 2)</f>
        <v>0</v>
      </c>
      <c r="U215">
        <f>Source!Y99</f>
        <v>0</v>
      </c>
    </row>
    <row r="216" spans="1:32" ht="15" x14ac:dyDescent="0.25">
      <c r="C216" s="29" t="s">
        <v>503</v>
      </c>
      <c r="G216" s="42">
        <f>H215</f>
        <v>1.1599999999999999</v>
      </c>
      <c r="H216" s="42"/>
      <c r="I216" s="42">
        <f>J215</f>
        <v>9.6999999999999993</v>
      </c>
      <c r="J216" s="42"/>
      <c r="O216" s="30">
        <f>G216</f>
        <v>1.1599999999999999</v>
      </c>
      <c r="P216" s="30">
        <f>I216</f>
        <v>9.6999999999999993</v>
      </c>
    </row>
    <row r="217" spans="1:32" ht="57" x14ac:dyDescent="0.2">
      <c r="A217" s="31" t="str">
        <f>Source!E100</f>
        <v>30</v>
      </c>
      <c r="B217" s="32" t="str">
        <f>Source!F100</f>
        <v>т01-01-02-014</v>
      </c>
      <c r="C217" s="32" t="str">
        <f>Source!G100</f>
        <v>Разгрузочные работы при автомобильных перевозках изделий металлических (армокаркасы, заготовки трубные и др.)</v>
      </c>
      <c r="D217" s="33" t="str">
        <f>Source!H100</f>
        <v>1 Т ГРУЗА</v>
      </c>
      <c r="E217" s="34">
        <f>Source!I100</f>
        <v>6.7000000000000004E-2</v>
      </c>
      <c r="F217" s="35">
        <f>Source!AK100</f>
        <v>8.36</v>
      </c>
      <c r="G217" s="36" t="str">
        <f>Source!DC100</f>
        <v/>
      </c>
      <c r="H217" s="35">
        <f>ROUND(Source!AB100*Source!I100, 2)</f>
        <v>0.56000000000000005</v>
      </c>
      <c r="I217" s="36">
        <f>Source!AZ100</f>
        <v>14.49</v>
      </c>
      <c r="J217" s="35">
        <f>Source!GM100</f>
        <v>8.1199999999999992</v>
      </c>
      <c r="R217">
        <f>ROUND((Source!FX100/100)*((ROUND(0*Source!I100, 2)+ROUND(0*Source!I100, 2))), 2)</f>
        <v>0</v>
      </c>
      <c r="S217">
        <f>Source!X100</f>
        <v>0</v>
      </c>
      <c r="T217">
        <f>ROUND((Source!FY100/100)*((ROUND(0*Source!I100, 2)+ROUND(0*Source!I100, 2))), 2)</f>
        <v>0</v>
      </c>
      <c r="U217">
        <f>Source!Y100</f>
        <v>0</v>
      </c>
    </row>
    <row r="218" spans="1:32" ht="15" x14ac:dyDescent="0.25">
      <c r="C218" s="29" t="s">
        <v>503</v>
      </c>
      <c r="G218" s="42">
        <f>H217</f>
        <v>0.56000000000000005</v>
      </c>
      <c r="H218" s="42"/>
      <c r="I218" s="42">
        <f>J217</f>
        <v>8.1199999999999992</v>
      </c>
      <c r="J218" s="42"/>
      <c r="O218" s="30">
        <f>G218</f>
        <v>0.56000000000000005</v>
      </c>
      <c r="P218" s="30">
        <f>I218</f>
        <v>8.1199999999999992</v>
      </c>
    </row>
    <row r="219" spans="1:32" ht="57" x14ac:dyDescent="0.2">
      <c r="A219" s="31" t="str">
        <f>Source!E101</f>
        <v>31</v>
      </c>
      <c r="B219" s="32" t="str">
        <f>Source!F101</f>
        <v>т01-01-02-016</v>
      </c>
      <c r="C219" s="32" t="str">
        <f>Source!G101</f>
        <v>Разгрузочные работы при автомобильных перевозках металлических конструкций массой от 1 до 3 т (распределительный шкаф)</v>
      </c>
      <c r="D219" s="33" t="str">
        <f>Source!H101</f>
        <v>1 Т ГРУЗА</v>
      </c>
      <c r="E219" s="34">
        <f>Source!I101</f>
        <v>0.09</v>
      </c>
      <c r="F219" s="35">
        <f>Source!AK101</f>
        <v>10.45</v>
      </c>
      <c r="G219" s="36" t="str">
        <f>Source!DC101</f>
        <v/>
      </c>
      <c r="H219" s="35">
        <f>ROUND(Source!AB101*Source!I101, 2)</f>
        <v>0.94</v>
      </c>
      <c r="I219" s="36">
        <f>Source!AZ101</f>
        <v>14.31</v>
      </c>
      <c r="J219" s="35">
        <f>Source!GM101</f>
        <v>13.46</v>
      </c>
      <c r="R219">
        <f>ROUND((Source!FX101/100)*((ROUND(0*Source!I101, 2)+ROUND(0*Source!I101, 2))), 2)</f>
        <v>0</v>
      </c>
      <c r="S219">
        <f>Source!X101</f>
        <v>0</v>
      </c>
      <c r="T219">
        <f>ROUND((Source!FY101/100)*((ROUND(0*Source!I101, 2)+ROUND(0*Source!I101, 2))), 2)</f>
        <v>0</v>
      </c>
      <c r="U219">
        <f>Source!Y101</f>
        <v>0</v>
      </c>
    </row>
    <row r="220" spans="1:32" ht="15" x14ac:dyDescent="0.25">
      <c r="C220" s="29" t="s">
        <v>503</v>
      </c>
      <c r="G220" s="42">
        <f>H219</f>
        <v>0.94</v>
      </c>
      <c r="H220" s="42"/>
      <c r="I220" s="42">
        <f>J219</f>
        <v>13.46</v>
      </c>
      <c r="J220" s="42"/>
      <c r="O220" s="30">
        <f>G220</f>
        <v>0.94</v>
      </c>
      <c r="P220" s="30">
        <f>I220</f>
        <v>13.46</v>
      </c>
    </row>
    <row r="222" spans="1:32" ht="15" x14ac:dyDescent="0.25">
      <c r="A222" s="44" t="str">
        <f>CONCATENATE("Итого по разделу: ",IF(Source!G103&lt;&gt;"Новый раздел", Source!G103, ""))</f>
        <v>Итого по разделу: Демонтаж ИВРУ в районе СП-4</v>
      </c>
      <c r="B222" s="44"/>
      <c r="C222" s="44"/>
      <c r="D222" s="44"/>
      <c r="E222" s="44"/>
      <c r="F222" s="44"/>
      <c r="G222" s="42">
        <f>SUM(O172:O221)</f>
        <v>472.53000000000003</v>
      </c>
      <c r="H222" s="42"/>
      <c r="I222" s="42">
        <f>SUM(P172:P221)</f>
        <v>7299.12</v>
      </c>
      <c r="J222" s="42"/>
    </row>
    <row r="224" spans="1:32" ht="15" x14ac:dyDescent="0.25">
      <c r="A224" s="44" t="str">
        <f>CONCATENATE("Итого по локальной смете: ",IF(Source!G132&lt;&gt;"Новая локальная смета", Source!G132, ""))</f>
        <v xml:space="preserve">Итого по локальной смете: </v>
      </c>
      <c r="B224" s="44"/>
      <c r="C224" s="44"/>
      <c r="D224" s="44"/>
      <c r="E224" s="44"/>
      <c r="F224" s="44"/>
      <c r="G224" s="42">
        <f>SUM(O31:O223)</f>
        <v>45859.249999999993</v>
      </c>
      <c r="H224" s="42"/>
      <c r="I224" s="42">
        <f>SUM(P31:P223)</f>
        <v>437787.1100000001</v>
      </c>
      <c r="J224" s="42"/>
      <c r="AF224" s="39" t="str">
        <f>CONCATENATE("Итого по локальной смете: ",IF(Source!G132&lt;&gt;"Новая локальная смета", Source!G132, ""))</f>
        <v xml:space="preserve">Итого по локальной смете: </v>
      </c>
    </row>
    <row r="226" spans="1:10" ht="14.25" x14ac:dyDescent="0.2">
      <c r="C226" s="45" t="str">
        <f>Source!H139</f>
        <v>Стоимость материалов заказчика</v>
      </c>
      <c r="D226" s="45"/>
      <c r="E226" s="45"/>
      <c r="F226" s="45"/>
      <c r="G226" s="45"/>
      <c r="H226" s="45"/>
      <c r="I226" s="43">
        <f>IF(Source!F139=0, "", Source!F139)</f>
        <v>154585.5</v>
      </c>
      <c r="J226" s="43"/>
    </row>
    <row r="227" spans="1:10" ht="14.25" x14ac:dyDescent="0.2">
      <c r="C227" s="24"/>
      <c r="D227" s="24"/>
      <c r="E227" s="24"/>
      <c r="F227" s="24"/>
      <c r="G227" s="24"/>
      <c r="H227" s="24"/>
      <c r="I227" s="19"/>
      <c r="J227" s="19"/>
    </row>
    <row r="228" spans="1:10" ht="14.25" customHeight="1" x14ac:dyDescent="0.25">
      <c r="A228" s="44" t="str">
        <f>Source!H160</f>
        <v>Итого по локальной смете без учета материалов Заказчика</v>
      </c>
      <c r="B228" s="44"/>
      <c r="C228" s="44"/>
      <c r="D228" s="44"/>
      <c r="E228" s="44"/>
      <c r="F228" s="44"/>
      <c r="I228" s="42">
        <f>IF(Source!F160=0, "", Source!F160)</f>
        <v>283201.61</v>
      </c>
      <c r="J228" s="42"/>
    </row>
    <row r="230" spans="1:10" ht="33" customHeight="1" x14ac:dyDescent="0.25">
      <c r="A230" s="44" t="s">
        <v>561</v>
      </c>
      <c r="B230" s="44"/>
      <c r="C230" s="44"/>
      <c r="D230" s="44"/>
      <c r="E230" s="44"/>
      <c r="F230" s="44"/>
    </row>
    <row r="232" spans="1:10" ht="14.25" x14ac:dyDescent="0.2">
      <c r="A232" s="45" t="s">
        <v>556</v>
      </c>
      <c r="B232" s="45"/>
      <c r="C232" s="45"/>
      <c r="D232" s="45"/>
      <c r="E232" s="45"/>
      <c r="F232" s="45"/>
      <c r="G232" s="43"/>
      <c r="H232" s="43"/>
      <c r="I232" s="43"/>
      <c r="J232" s="43"/>
    </row>
    <row r="234" spans="1:10" ht="15" x14ac:dyDescent="0.25">
      <c r="A234" s="44" t="s">
        <v>557</v>
      </c>
      <c r="B234" s="44"/>
      <c r="C234" s="44"/>
      <c r="D234" s="44"/>
      <c r="E234" s="44"/>
      <c r="F234" s="44"/>
      <c r="G234" s="42"/>
      <c r="H234" s="42"/>
      <c r="I234" s="42"/>
      <c r="J234" s="42"/>
    </row>
    <row r="236" spans="1:10" ht="14.25" x14ac:dyDescent="0.2">
      <c r="A236" s="46"/>
      <c r="B236" s="46"/>
      <c r="C236" s="59"/>
      <c r="D236" s="59"/>
      <c r="E236" s="59"/>
      <c r="F236" s="59"/>
      <c r="G236" s="59"/>
      <c r="H236" s="59"/>
      <c r="I236" s="59"/>
      <c r="J236" s="13"/>
    </row>
    <row r="237" spans="1:10" ht="14.25" x14ac:dyDescent="0.2">
      <c r="A237" s="13"/>
      <c r="B237" s="13"/>
      <c r="C237" s="60"/>
      <c r="D237" s="60"/>
      <c r="E237" s="60"/>
      <c r="F237" s="60"/>
      <c r="G237" s="60"/>
      <c r="H237" s="59"/>
      <c r="I237" s="59"/>
      <c r="J237" s="13"/>
    </row>
    <row r="238" spans="1:10" ht="14.25" x14ac:dyDescent="0.2">
      <c r="A238" s="13"/>
      <c r="B238" s="13"/>
      <c r="C238" s="59"/>
      <c r="D238" s="59"/>
      <c r="E238" s="59"/>
      <c r="F238" s="59"/>
      <c r="G238" s="59"/>
      <c r="H238" s="59"/>
      <c r="I238" s="59"/>
      <c r="J238" s="13"/>
    </row>
    <row r="239" spans="1:10" ht="14.25" x14ac:dyDescent="0.2">
      <c r="A239" s="46"/>
      <c r="B239" s="46"/>
      <c r="C239" s="59"/>
      <c r="D239" s="59"/>
      <c r="E239" s="59"/>
      <c r="F239" s="59"/>
      <c r="G239" s="59"/>
      <c r="H239" s="59"/>
      <c r="I239" s="59"/>
      <c r="J239" s="13"/>
    </row>
    <row r="240" spans="1:10" ht="14.25" x14ac:dyDescent="0.2">
      <c r="A240" s="13"/>
      <c r="B240" s="13"/>
      <c r="C240" s="60"/>
      <c r="D240" s="60"/>
      <c r="E240" s="60"/>
      <c r="F240" s="60"/>
      <c r="G240" s="60"/>
      <c r="H240" s="59"/>
      <c r="I240" s="59"/>
      <c r="J240" s="13"/>
    </row>
    <row r="241" spans="1:10" s="9" customFormat="1" ht="12" x14ac:dyDescent="0.2">
      <c r="A241" s="9" t="str">
        <f>Source!B1</f>
        <v>Smeta.RU  (495) 974-1589</v>
      </c>
    </row>
    <row r="242" spans="1:10" ht="14.25" x14ac:dyDescent="0.2">
      <c r="A242" s="10"/>
      <c r="B242" s="10"/>
      <c r="C242" s="10"/>
      <c r="D242" s="10"/>
      <c r="E242" s="10"/>
      <c r="F242" s="10"/>
      <c r="G242" s="10"/>
      <c r="H242" s="10"/>
      <c r="I242" s="10"/>
      <c r="J242" s="11" t="s">
        <v>479</v>
      </c>
    </row>
    <row r="243" spans="1:10" ht="16.5" x14ac:dyDescent="0.25">
      <c r="A243" s="12"/>
      <c r="B243" s="52" t="s">
        <v>477</v>
      </c>
      <c r="C243" s="52"/>
      <c r="D243" s="52"/>
      <c r="E243" s="52"/>
      <c r="F243" s="13"/>
      <c r="G243" s="52" t="s">
        <v>478</v>
      </c>
      <c r="H243" s="48"/>
      <c r="I243" s="48"/>
      <c r="J243" s="48"/>
    </row>
    <row r="244" spans="1:10" ht="14.25" x14ac:dyDescent="0.2">
      <c r="A244" s="13"/>
      <c r="B244" s="47"/>
      <c r="C244" s="47"/>
      <c r="D244" s="47"/>
      <c r="E244" s="47"/>
      <c r="F244" s="13"/>
      <c r="G244" s="47" t="s">
        <v>558</v>
      </c>
      <c r="H244" s="48"/>
      <c r="I244" s="48"/>
      <c r="J244" s="48"/>
    </row>
    <row r="245" spans="1:10" ht="14.25" x14ac:dyDescent="0.2">
      <c r="A245" s="13"/>
      <c r="B245" s="16"/>
      <c r="C245" s="16"/>
      <c r="D245" s="16"/>
      <c r="E245" s="16"/>
      <c r="F245" s="13"/>
      <c r="G245" s="16" t="s">
        <v>559</v>
      </c>
      <c r="H245" s="40"/>
      <c r="I245" s="40"/>
      <c r="J245" s="40"/>
    </row>
    <row r="246" spans="1:10" ht="14.25" x14ac:dyDescent="0.2">
      <c r="A246" s="14"/>
      <c r="B246" s="14"/>
      <c r="C246" s="15"/>
      <c r="D246" s="15"/>
      <c r="E246" s="15"/>
      <c r="F246" s="13"/>
      <c r="G246" s="16"/>
      <c r="H246" s="15"/>
      <c r="I246" s="15"/>
      <c r="J246" s="15"/>
    </row>
    <row r="247" spans="1:10" ht="14.25" x14ac:dyDescent="0.2">
      <c r="A247" s="16"/>
      <c r="B247" s="47" t="str">
        <f>CONCATENATE("______________________ ", IF(Source!AL12&lt;&gt;"", Source!AL12, ""))</f>
        <v xml:space="preserve">______________________ </v>
      </c>
      <c r="C247" s="47"/>
      <c r="D247" s="47"/>
      <c r="E247" s="47"/>
      <c r="F247" s="13"/>
      <c r="G247" s="47" t="s">
        <v>562</v>
      </c>
      <c r="H247" s="48"/>
      <c r="I247" s="48"/>
      <c r="J247" s="48"/>
    </row>
    <row r="248" spans="1:10" ht="14.25" x14ac:dyDescent="0.2">
      <c r="A248" s="17"/>
      <c r="B248" s="49" t="s">
        <v>480</v>
      </c>
      <c r="C248" s="49"/>
      <c r="D248" s="49"/>
      <c r="E248" s="49"/>
      <c r="F248" s="13"/>
      <c r="G248" s="49" t="s">
        <v>480</v>
      </c>
      <c r="H248" s="50"/>
      <c r="I248" s="50"/>
      <c r="J248" s="50"/>
    </row>
    <row r="250" spans="1:10" ht="14.25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1"/>
    </row>
    <row r="251" spans="1:10" ht="15.75" x14ac:dyDescent="0.25">
      <c r="A251" s="55" t="s">
        <v>5</v>
      </c>
      <c r="B251" s="55"/>
      <c r="C251" s="55"/>
      <c r="D251" s="55"/>
      <c r="E251" s="55"/>
      <c r="F251" s="55"/>
      <c r="G251" s="55"/>
      <c r="H251" s="55"/>
      <c r="I251" s="55"/>
      <c r="J251" s="55"/>
    </row>
    <row r="252" spans="1:10" x14ac:dyDescent="0.2">
      <c r="A252" s="51" t="s">
        <v>481</v>
      </c>
      <c r="B252" s="51"/>
      <c r="C252" s="51"/>
      <c r="D252" s="51"/>
      <c r="E252" s="51"/>
      <c r="F252" s="51"/>
      <c r="G252" s="51"/>
      <c r="H252" s="51"/>
      <c r="I252" s="51"/>
      <c r="J252" s="51"/>
    </row>
    <row r="253" spans="1:10" ht="14.25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</row>
    <row r="254" spans="1:10" ht="15.75" x14ac:dyDescent="0.25">
      <c r="A254" s="55" t="str">
        <f>CONCATENATE( "ЛОКАЛЬНЫЙ СМЕТНЫЙ РАСЧЕТ № ",IF(Source!F162&lt;&gt;"Новая локальная смета", Source!F162, ""))</f>
        <v>ЛОКАЛЬНЫЙ СМЕТНЫЙ РАСЧЕТ № 10</v>
      </c>
      <c r="B254" s="55"/>
      <c r="C254" s="55"/>
      <c r="D254" s="55"/>
      <c r="E254" s="55"/>
      <c r="F254" s="55"/>
      <c r="G254" s="55"/>
      <c r="H254" s="55"/>
      <c r="I254" s="55"/>
      <c r="J254" s="55"/>
    </row>
    <row r="255" spans="1:10" x14ac:dyDescent="0.2">
      <c r="A255" s="53" t="s">
        <v>482</v>
      </c>
      <c r="B255" s="53"/>
      <c r="C255" s="53"/>
      <c r="D255" s="53"/>
      <c r="E255" s="53"/>
      <c r="F255" s="53"/>
      <c r="G255" s="53"/>
      <c r="H255" s="53"/>
      <c r="I255" s="53"/>
      <c r="J255" s="53"/>
    </row>
    <row r="256" spans="1:10" ht="14.25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</row>
    <row r="257" spans="1:31" ht="18" x14ac:dyDescent="0.25">
      <c r="A257" s="56" t="str">
        <f>IF(Source!G162&lt;&gt;"Новая локальная смета", Source!G162, "")</f>
        <v>Пусконаладочные работы КЛ-0,4 кВ из ИВРУ в СП-4</v>
      </c>
      <c r="B257" s="56"/>
      <c r="C257" s="56"/>
      <c r="D257" s="56"/>
      <c r="E257" s="56"/>
      <c r="F257" s="56"/>
      <c r="G257" s="56"/>
      <c r="H257" s="56"/>
      <c r="I257" s="56"/>
      <c r="J257" s="56"/>
    </row>
    <row r="258" spans="1:31" x14ac:dyDescent="0.2">
      <c r="A258" s="53" t="s">
        <v>483</v>
      </c>
      <c r="B258" s="54"/>
      <c r="C258" s="54"/>
      <c r="D258" s="54"/>
      <c r="E258" s="54"/>
      <c r="F258" s="54"/>
      <c r="G258" s="54"/>
      <c r="H258" s="54"/>
      <c r="I258" s="54"/>
      <c r="J258" s="54"/>
    </row>
    <row r="259" spans="1:31" ht="14.25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</row>
    <row r="260" spans="1:31" ht="14.25" x14ac:dyDescent="0.2">
      <c r="A260" s="45" t="str">
        <f>CONCATENATE( "Основание: ", Source!J162)</f>
        <v>Основание: Ведомость объемов работ по перефиксации КЛ-0,4 кВ из ИВРУ в СП-4 (Приложение №5 к Техническому заданию)</v>
      </c>
      <c r="B260" s="45"/>
      <c r="C260" s="45"/>
      <c r="D260" s="45"/>
      <c r="E260" s="45"/>
      <c r="F260" s="45"/>
      <c r="G260" s="45"/>
      <c r="H260" s="45"/>
      <c r="I260" s="45"/>
      <c r="J260" s="45"/>
      <c r="AE260" s="24" t="str">
        <f>CONCATENATE( "Основание: ", Source!J162)</f>
        <v>Основание: Ведомость объемов работ по перефиксации КЛ-0,4 кВ из ИВРУ в СП-4 (Приложение №5 к Техническому заданию)</v>
      </c>
    </row>
    <row r="261" spans="1:31" ht="14.25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</row>
    <row r="262" spans="1:31" ht="14.25" x14ac:dyDescent="0.2">
      <c r="A262" s="13"/>
      <c r="B262" s="13"/>
      <c r="C262" s="13"/>
      <c r="D262" s="13"/>
      <c r="E262" s="13"/>
      <c r="F262" s="13"/>
      <c r="G262" s="13"/>
      <c r="H262" s="18" t="s">
        <v>484</v>
      </c>
      <c r="I262" s="18" t="s">
        <v>485</v>
      </c>
      <c r="J262" s="13"/>
    </row>
    <row r="263" spans="1:31" ht="14.25" x14ac:dyDescent="0.2">
      <c r="A263" s="13"/>
      <c r="B263" s="13"/>
      <c r="C263" s="13"/>
      <c r="D263" s="13"/>
      <c r="E263" s="13"/>
      <c r="F263" s="13"/>
      <c r="G263" s="13"/>
      <c r="H263" s="18" t="s">
        <v>486</v>
      </c>
      <c r="I263" s="18" t="s">
        <v>486</v>
      </c>
      <c r="J263" s="13"/>
    </row>
    <row r="264" spans="1:31" ht="14.25" x14ac:dyDescent="0.2">
      <c r="A264" s="13"/>
      <c r="B264" s="13"/>
      <c r="C264" s="13"/>
      <c r="D264" s="13"/>
      <c r="E264" s="47" t="s">
        <v>487</v>
      </c>
      <c r="F264" s="47"/>
      <c r="G264" s="47"/>
      <c r="H264" s="19">
        <f>SUM(O271:O285)/1000</f>
        <v>0.11644</v>
      </c>
      <c r="I264" s="19">
        <f>(Source!F196/1000)</f>
        <v>2.74356</v>
      </c>
      <c r="J264" s="13" t="s">
        <v>488</v>
      </c>
    </row>
    <row r="265" spans="1:31" ht="14.25" x14ac:dyDescent="0.2">
      <c r="A265" s="13"/>
      <c r="B265" s="13"/>
      <c r="C265" s="13"/>
      <c r="D265" s="13"/>
      <c r="E265" s="47" t="s">
        <v>489</v>
      </c>
      <c r="F265" s="47"/>
      <c r="G265" s="47"/>
      <c r="H265" s="19">
        <f>I265</f>
        <v>4.4351999999999991</v>
      </c>
      <c r="I265" s="19">
        <f>(Source!F191+Source!F192)</f>
        <v>4.4351999999999991</v>
      </c>
      <c r="J265" s="13" t="s">
        <v>490</v>
      </c>
    </row>
    <row r="266" spans="1:31" ht="14.25" x14ac:dyDescent="0.2">
      <c r="A266" s="13"/>
      <c r="B266" s="13"/>
      <c r="C266" s="13"/>
      <c r="D266" s="13"/>
      <c r="E266" s="47" t="s">
        <v>491</v>
      </c>
      <c r="F266" s="47"/>
      <c r="G266" s="47"/>
      <c r="H266" s="19">
        <f>SUM(Q271:Q285)/1000</f>
        <v>5.6799999999999996E-2</v>
      </c>
      <c r="I266" s="19">
        <f>(Source!F184+ Source!F183)/1000</f>
        <v>1.4671400000000001</v>
      </c>
      <c r="J266" s="13" t="s">
        <v>488</v>
      </c>
    </row>
    <row r="267" spans="1:31" ht="14.25" x14ac:dyDescent="0.2">
      <c r="A267" s="13"/>
      <c r="B267" s="13"/>
      <c r="C267" s="13"/>
      <c r="D267" s="13"/>
      <c r="E267" s="13"/>
      <c r="F267" s="13"/>
      <c r="G267" s="13"/>
      <c r="H267" s="10"/>
      <c r="I267" s="19"/>
      <c r="J267" s="13"/>
    </row>
    <row r="268" spans="1:31" ht="14.25" x14ac:dyDescent="0.2">
      <c r="A268" s="13" t="s">
        <v>502</v>
      </c>
      <c r="B268" s="13"/>
      <c r="C268" s="13"/>
      <c r="D268" s="20"/>
      <c r="E268" s="21"/>
      <c r="F268" s="13"/>
      <c r="G268" s="13"/>
      <c r="H268" s="13"/>
      <c r="I268" s="13"/>
      <c r="J268" s="13"/>
    </row>
    <row r="269" spans="1:31" ht="71.25" x14ac:dyDescent="0.2">
      <c r="A269" s="22" t="s">
        <v>492</v>
      </c>
      <c r="B269" s="22" t="s">
        <v>493</v>
      </c>
      <c r="C269" s="22" t="s">
        <v>494</v>
      </c>
      <c r="D269" s="22" t="s">
        <v>495</v>
      </c>
      <c r="E269" s="22" t="s">
        <v>496</v>
      </c>
      <c r="F269" s="22" t="s">
        <v>497</v>
      </c>
      <c r="G269" s="23" t="s">
        <v>498</v>
      </c>
      <c r="H269" s="22" t="s">
        <v>499</v>
      </c>
      <c r="I269" s="22" t="s">
        <v>500</v>
      </c>
      <c r="J269" s="22" t="s">
        <v>501</v>
      </c>
    </row>
    <row r="270" spans="1:31" ht="14.25" x14ac:dyDescent="0.2">
      <c r="A270" s="22">
        <v>1</v>
      </c>
      <c r="B270" s="22">
        <v>2</v>
      </c>
      <c r="C270" s="22">
        <v>3</v>
      </c>
      <c r="D270" s="22">
        <v>4</v>
      </c>
      <c r="E270" s="22">
        <v>5</v>
      </c>
      <c r="F270" s="22">
        <v>6</v>
      </c>
      <c r="G270" s="22">
        <v>7</v>
      </c>
      <c r="H270" s="22">
        <v>8</v>
      </c>
      <c r="I270" s="22">
        <v>9</v>
      </c>
      <c r="J270" s="22">
        <v>10</v>
      </c>
    </row>
    <row r="271" spans="1:31" ht="195.75" x14ac:dyDescent="0.2">
      <c r="A271" s="25" t="str">
        <f>Source!E166</f>
        <v>1</v>
      </c>
      <c r="B271" s="26" t="s">
        <v>552</v>
      </c>
      <c r="C271" s="26" t="s">
        <v>553</v>
      </c>
      <c r="D271" s="27" t="str">
        <f>Source!H166</f>
        <v>ШТ</v>
      </c>
      <c r="E271" s="10">
        <f>Source!I166</f>
        <v>4</v>
      </c>
      <c r="F271" s="19"/>
      <c r="G271" s="28"/>
      <c r="H271" s="19"/>
      <c r="I271" s="28" t="str">
        <f>Source!BO166</f>
        <v/>
      </c>
      <c r="J271" s="19"/>
      <c r="R271">
        <f>ROUND((Source!FX166/100)*((ROUND(Source!AF166*Source!I166, 2)+ROUND(Source!AE166*Source!I166, 2))), 2)</f>
        <v>32.76</v>
      </c>
      <c r="S271">
        <f>Source!X166</f>
        <v>716.01</v>
      </c>
      <c r="T271">
        <f>ROUND((Source!FY166/100)*((ROUND(Source!AF166*Source!I166, 2)+ROUND(Source!AE166*Source!I166, 2))), 2)</f>
        <v>20.16</v>
      </c>
      <c r="U271">
        <f>Source!Y166</f>
        <v>416.59</v>
      </c>
    </row>
    <row r="272" spans="1:31" ht="14.25" x14ac:dyDescent="0.2">
      <c r="A272" s="25"/>
      <c r="B272" s="26"/>
      <c r="C272" s="26" t="s">
        <v>506</v>
      </c>
      <c r="D272" s="27"/>
      <c r="E272" s="10"/>
      <c r="F272" s="19">
        <f>Source!AO166</f>
        <v>10.5</v>
      </c>
      <c r="G272" s="28" t="str">
        <f>Source!DG166</f>
        <v>)*1,2</v>
      </c>
      <c r="H272" s="19">
        <f>ROUND(Source!AF166*Source!I166, 2)</f>
        <v>50.4</v>
      </c>
      <c r="I272" s="28">
        <f>IF(Source!BA166&lt;&gt; 0, Source!BA166, 1)</f>
        <v>25.83</v>
      </c>
      <c r="J272" s="19">
        <f>Source!S166</f>
        <v>1301.83</v>
      </c>
      <c r="Q272">
        <f>ROUND(Source!AF166*Source!I166, 2)</f>
        <v>50.4</v>
      </c>
    </row>
    <row r="273" spans="1:32" ht="14.25" x14ac:dyDescent="0.2">
      <c r="A273" s="25"/>
      <c r="B273" s="26"/>
      <c r="C273" s="26" t="str">
        <f>CONCATENATE("НР от ФОТ [к тек. уровню ", Source!FV166, "]")</f>
        <v>НР от ФОТ [к тек. уровню *0,85]</v>
      </c>
      <c r="D273" s="27" t="s">
        <v>510</v>
      </c>
      <c r="E273" s="10">
        <f>Source!BZ166</f>
        <v>65</v>
      </c>
      <c r="F273" s="19"/>
      <c r="G273" s="28"/>
      <c r="H273" s="19">
        <f>SUM(R271:R272)</f>
        <v>32.76</v>
      </c>
      <c r="I273" s="28">
        <f>Source!AT166</f>
        <v>55</v>
      </c>
      <c r="J273" s="19">
        <f>SUM(S271:S272)</f>
        <v>716.01</v>
      </c>
    </row>
    <row r="274" spans="1:32" ht="14.25" x14ac:dyDescent="0.2">
      <c r="A274" s="25"/>
      <c r="B274" s="26"/>
      <c r="C274" s="26" t="str">
        <f>CONCATENATE("СП от ФОТ [к тек. уровню ", Source!FW166, "]")</f>
        <v>СП от ФОТ [к тек. уровню *0,8]</v>
      </c>
      <c r="D274" s="27" t="s">
        <v>510</v>
      </c>
      <c r="E274" s="10">
        <f>Source!CA166</f>
        <v>40</v>
      </c>
      <c r="F274" s="19"/>
      <c r="G274" s="28"/>
      <c r="H274" s="19">
        <f>SUM(T271:T273)</f>
        <v>20.16</v>
      </c>
      <c r="I274" s="28">
        <f>Source!AU166</f>
        <v>32</v>
      </c>
      <c r="J274" s="19">
        <f>SUM(U271:U273)</f>
        <v>416.59</v>
      </c>
    </row>
    <row r="275" spans="1:32" ht="14.25" x14ac:dyDescent="0.2">
      <c r="A275" s="31"/>
      <c r="B275" s="32"/>
      <c r="C275" s="32" t="s">
        <v>511</v>
      </c>
      <c r="D275" s="33" t="s">
        <v>512</v>
      </c>
      <c r="E275" s="34">
        <f>Source!AQ166</f>
        <v>0.82</v>
      </c>
      <c r="F275" s="35"/>
      <c r="G275" s="36" t="str">
        <f>Source!DI166</f>
        <v>)*1,2</v>
      </c>
      <c r="H275" s="35">
        <f>Source!U166</f>
        <v>3.9359999999999995</v>
      </c>
      <c r="I275" s="36"/>
      <c r="J275" s="35"/>
    </row>
    <row r="276" spans="1:32" ht="15" x14ac:dyDescent="0.25">
      <c r="C276" s="29" t="s">
        <v>503</v>
      </c>
      <c r="G276" s="42">
        <f>ROUND(Source!AC166*Source!I166, 2)+ROUND(Source!AF166*Source!I166, 2)+ROUND(Source!AD166*Source!I166, 2)+SUM(H273:H274)</f>
        <v>103.32</v>
      </c>
      <c r="H276" s="42"/>
      <c r="I276" s="42">
        <f>Source!P166+Source!Q166+Source!S166+SUM(J273:J274)</f>
        <v>2434.4299999999998</v>
      </c>
      <c r="J276" s="42"/>
      <c r="O276" s="30">
        <f>G276</f>
        <v>103.32</v>
      </c>
      <c r="P276" s="30">
        <f>I276</f>
        <v>2434.4299999999998</v>
      </c>
    </row>
    <row r="277" spans="1:32" ht="292.5" x14ac:dyDescent="0.2">
      <c r="A277" s="25" t="str">
        <f>Source!E167</f>
        <v>2</v>
      </c>
      <c r="B277" s="26" t="s">
        <v>554</v>
      </c>
      <c r="C277" s="26" t="s">
        <v>555</v>
      </c>
      <c r="D277" s="27" t="str">
        <f>Source!H167</f>
        <v>ШТ</v>
      </c>
      <c r="E277" s="10">
        <f>Source!I167</f>
        <v>1</v>
      </c>
      <c r="F277" s="19"/>
      <c r="G277" s="28"/>
      <c r="H277" s="19"/>
      <c r="I277" s="28" t="str">
        <f>Source!BO167</f>
        <v/>
      </c>
      <c r="J277" s="19"/>
      <c r="R277">
        <f>ROUND((Source!FX167/100)*((ROUND(Source!AF167*Source!I167, 2)+ROUND(Source!AE167*Source!I167, 2))), 2)</f>
        <v>4.16</v>
      </c>
      <c r="S277">
        <f>Source!X167</f>
        <v>90.92</v>
      </c>
      <c r="T277">
        <f>ROUND((Source!FY167/100)*((ROUND(Source!AF167*Source!I167, 2)+ROUND(Source!AE167*Source!I167, 2))), 2)</f>
        <v>2.56</v>
      </c>
      <c r="U277">
        <f>Source!Y167</f>
        <v>52.9</v>
      </c>
    </row>
    <row r="278" spans="1:32" ht="14.25" x14ac:dyDescent="0.2">
      <c r="A278" s="25"/>
      <c r="B278" s="26"/>
      <c r="C278" s="26" t="s">
        <v>506</v>
      </c>
      <c r="D278" s="27"/>
      <c r="E278" s="10"/>
      <c r="F278" s="19">
        <f>Source!AO167</f>
        <v>4.0999999999999996</v>
      </c>
      <c r="G278" s="28" t="str">
        <f>Source!DG167</f>
        <v>)*1,2)*1,3</v>
      </c>
      <c r="H278" s="19">
        <f>ROUND(Source!AF167*Source!I167, 2)</f>
        <v>6.4</v>
      </c>
      <c r="I278" s="28">
        <f>IF(Source!BA167&lt;&gt; 0, Source!BA167, 1)</f>
        <v>25.83</v>
      </c>
      <c r="J278" s="19">
        <f>Source!S167</f>
        <v>165.31</v>
      </c>
      <c r="Q278">
        <f>ROUND(Source!AF167*Source!I167, 2)</f>
        <v>6.4</v>
      </c>
    </row>
    <row r="279" spans="1:32" ht="14.25" x14ac:dyDescent="0.2">
      <c r="A279" s="25"/>
      <c r="B279" s="26"/>
      <c r="C279" s="26" t="str">
        <f>CONCATENATE("НР от ФОТ [к тек. уровню ", Source!FV167, "]")</f>
        <v>НР от ФОТ [к тек. уровню *0,85]</v>
      </c>
      <c r="D279" s="27" t="s">
        <v>510</v>
      </c>
      <c r="E279" s="10">
        <f>Source!BZ167</f>
        <v>65</v>
      </c>
      <c r="F279" s="19"/>
      <c r="G279" s="28"/>
      <c r="H279" s="19">
        <f>SUM(R277:R278)</f>
        <v>4.16</v>
      </c>
      <c r="I279" s="28">
        <f>Source!AT167</f>
        <v>55</v>
      </c>
      <c r="J279" s="19">
        <f>SUM(S277:S278)</f>
        <v>90.92</v>
      </c>
    </row>
    <row r="280" spans="1:32" ht="14.25" x14ac:dyDescent="0.2">
      <c r="A280" s="25"/>
      <c r="B280" s="26"/>
      <c r="C280" s="26" t="str">
        <f>CONCATENATE("СП от ФОТ [к тек. уровню ", Source!FW167, "]")</f>
        <v>СП от ФОТ [к тек. уровню *0,8]</v>
      </c>
      <c r="D280" s="27" t="s">
        <v>510</v>
      </c>
      <c r="E280" s="10">
        <f>Source!CA167</f>
        <v>40</v>
      </c>
      <c r="F280" s="19"/>
      <c r="G280" s="28"/>
      <c r="H280" s="19">
        <f>SUM(T277:T279)</f>
        <v>2.56</v>
      </c>
      <c r="I280" s="28">
        <f>Source!AU167</f>
        <v>32</v>
      </c>
      <c r="J280" s="19">
        <f>SUM(U277:U279)</f>
        <v>52.9</v>
      </c>
    </row>
    <row r="281" spans="1:32" ht="14.25" x14ac:dyDescent="0.2">
      <c r="A281" s="31"/>
      <c r="B281" s="32"/>
      <c r="C281" s="32" t="s">
        <v>511</v>
      </c>
      <c r="D281" s="33" t="s">
        <v>512</v>
      </c>
      <c r="E281" s="34">
        <f>Source!AQ167</f>
        <v>0.32</v>
      </c>
      <c r="F281" s="35"/>
      <c r="G281" s="36" t="str">
        <f>Source!DI167</f>
        <v>)*1,2)*1,3</v>
      </c>
      <c r="H281" s="35">
        <f>Source!U167</f>
        <v>0.49920000000000003</v>
      </c>
      <c r="I281" s="36"/>
      <c r="J281" s="35"/>
    </row>
    <row r="282" spans="1:32" ht="15" x14ac:dyDescent="0.25">
      <c r="C282" s="29" t="s">
        <v>503</v>
      </c>
      <c r="G282" s="42">
        <f>ROUND(Source!AC167*Source!I167, 2)+ROUND(Source!AF167*Source!I167, 2)+ROUND(Source!AD167*Source!I167, 2)+SUM(H279:H280)</f>
        <v>13.120000000000001</v>
      </c>
      <c r="H282" s="42"/>
      <c r="I282" s="42">
        <f>Source!P167+Source!Q167+Source!S167+SUM(J279:J280)</f>
        <v>309.13</v>
      </c>
      <c r="J282" s="42"/>
      <c r="O282" s="30">
        <f>G282</f>
        <v>13.120000000000001</v>
      </c>
      <c r="P282" s="30">
        <f>I282</f>
        <v>309.13</v>
      </c>
    </row>
    <row r="284" spans="1:32" ht="15" x14ac:dyDescent="0.25">
      <c r="A284" s="44" t="str">
        <f>CONCATENATE("Итого по локальной смете: ",IF(Source!G169&lt;&gt;"Новая локальная смета", Source!G169, ""))</f>
        <v xml:space="preserve">Итого по локальной смете: </v>
      </c>
      <c r="B284" s="44"/>
      <c r="C284" s="44"/>
      <c r="D284" s="44"/>
      <c r="E284" s="44"/>
      <c r="F284" s="44"/>
      <c r="G284" s="42">
        <f>SUM(O271:O283)</f>
        <v>116.44</v>
      </c>
      <c r="H284" s="42"/>
      <c r="I284" s="42">
        <f>SUM(P271:P283)</f>
        <v>2743.56</v>
      </c>
      <c r="J284" s="42"/>
      <c r="AF284" s="39" t="str">
        <f>CONCATENATE("Итого по локальной смете: ",IF(Source!G169&lt;&gt;"Новая локальная смета", Source!G169, ""))</f>
        <v xml:space="preserve">Итого по локальной смете: </v>
      </c>
    </row>
    <row r="286" spans="1:32" ht="15" x14ac:dyDescent="0.25">
      <c r="A286" s="44" t="s">
        <v>563</v>
      </c>
      <c r="B286" s="44"/>
      <c r="C286" s="44"/>
      <c r="D286" s="44"/>
      <c r="E286" s="44"/>
      <c r="F286" s="44"/>
    </row>
    <row r="288" spans="1:32" ht="14.25" x14ac:dyDescent="0.2">
      <c r="A288" s="45" t="s">
        <v>556</v>
      </c>
      <c r="B288" s="45"/>
      <c r="C288" s="45"/>
      <c r="D288" s="45"/>
      <c r="E288" s="45"/>
      <c r="F288" s="45"/>
      <c r="G288" s="43"/>
      <c r="H288" s="43"/>
      <c r="I288" s="43"/>
      <c r="J288" s="43"/>
    </row>
    <row r="290" spans="1:10" ht="15" x14ac:dyDescent="0.25">
      <c r="A290" s="44" t="s">
        <v>557</v>
      </c>
      <c r="B290" s="44"/>
      <c r="C290" s="44"/>
      <c r="D290" s="44"/>
      <c r="E290" s="44"/>
      <c r="F290" s="44"/>
      <c r="G290" s="42"/>
      <c r="H290" s="42"/>
      <c r="I290" s="42"/>
      <c r="J290" s="42"/>
    </row>
    <row r="293" spans="1:10" ht="14.25" x14ac:dyDescent="0.2">
      <c r="A293" s="61"/>
      <c r="B293" s="61"/>
      <c r="C293" s="59"/>
      <c r="D293" s="59"/>
      <c r="E293" s="59"/>
      <c r="F293" s="59"/>
      <c r="G293" s="59"/>
      <c r="H293" s="59"/>
      <c r="I293" s="59"/>
      <c r="J293" s="13"/>
    </row>
    <row r="294" spans="1:10" ht="14.25" x14ac:dyDescent="0.2">
      <c r="A294" s="59"/>
      <c r="B294" s="59"/>
      <c r="C294" s="60"/>
      <c r="D294" s="60"/>
      <c r="E294" s="60"/>
      <c r="F294" s="60"/>
      <c r="G294" s="60"/>
      <c r="H294" s="59"/>
      <c r="I294" s="59"/>
      <c r="J294" s="13"/>
    </row>
    <row r="295" spans="1:10" ht="14.25" x14ac:dyDescent="0.2">
      <c r="A295" s="59"/>
      <c r="B295" s="59"/>
      <c r="C295" s="59"/>
      <c r="D295" s="59"/>
      <c r="E295" s="59"/>
      <c r="F295" s="59"/>
      <c r="G295" s="59"/>
      <c r="H295" s="59"/>
      <c r="I295" s="59"/>
      <c r="J295" s="13"/>
    </row>
    <row r="296" spans="1:10" ht="14.25" x14ac:dyDescent="0.2">
      <c r="A296" s="61"/>
      <c r="B296" s="61"/>
      <c r="C296" s="59"/>
      <c r="D296" s="59"/>
      <c r="E296" s="59"/>
      <c r="F296" s="59"/>
      <c r="G296" s="59"/>
      <c r="H296" s="59"/>
      <c r="I296" s="59"/>
      <c r="J296" s="13"/>
    </row>
    <row r="297" spans="1:10" ht="14.25" x14ac:dyDescent="0.2">
      <c r="A297" s="59"/>
      <c r="B297" s="59"/>
      <c r="C297" s="60"/>
      <c r="D297" s="60"/>
      <c r="E297" s="60"/>
      <c r="F297" s="60"/>
      <c r="G297" s="60"/>
      <c r="H297" s="59"/>
      <c r="I297" s="59"/>
      <c r="J297" s="13"/>
    </row>
  </sheetData>
  <mergeCells count="146">
    <mergeCell ref="A230:F230"/>
    <mergeCell ref="A286:F286"/>
    <mergeCell ref="B8:E8"/>
    <mergeCell ref="G8:J8"/>
    <mergeCell ref="A11:J11"/>
    <mergeCell ref="A12:J12"/>
    <mergeCell ref="A14:J14"/>
    <mergeCell ref="A15:J15"/>
    <mergeCell ref="B3:E3"/>
    <mergeCell ref="G3:J3"/>
    <mergeCell ref="B4:E4"/>
    <mergeCell ref="G4:J4"/>
    <mergeCell ref="B7:E7"/>
    <mergeCell ref="G7:J7"/>
    <mergeCell ref="E26:G26"/>
    <mergeCell ref="A32:J32"/>
    <mergeCell ref="I34:J34"/>
    <mergeCell ref="G34:H34"/>
    <mergeCell ref="I36:J36"/>
    <mergeCell ref="G36:H36"/>
    <mergeCell ref="A17:J17"/>
    <mergeCell ref="A18:J18"/>
    <mergeCell ref="A20:J20"/>
    <mergeCell ref="E24:G24"/>
    <mergeCell ref="E25:G25"/>
    <mergeCell ref="I57:J57"/>
    <mergeCell ref="G57:H57"/>
    <mergeCell ref="I63:J63"/>
    <mergeCell ref="G63:H63"/>
    <mergeCell ref="I73:J73"/>
    <mergeCell ref="G73:H73"/>
    <mergeCell ref="I45:J45"/>
    <mergeCell ref="G45:H45"/>
    <mergeCell ref="I47:J47"/>
    <mergeCell ref="G47:H47"/>
    <mergeCell ref="I55:J55"/>
    <mergeCell ref="G55:H55"/>
    <mergeCell ref="I110:J110"/>
    <mergeCell ref="G110:H110"/>
    <mergeCell ref="I118:J118"/>
    <mergeCell ref="G118:H118"/>
    <mergeCell ref="I128:J128"/>
    <mergeCell ref="G128:H128"/>
    <mergeCell ref="I83:J83"/>
    <mergeCell ref="G83:H83"/>
    <mergeCell ref="I93:J93"/>
    <mergeCell ref="G93:H93"/>
    <mergeCell ref="I100:J100"/>
    <mergeCell ref="G100:H100"/>
    <mergeCell ref="I158:J158"/>
    <mergeCell ref="G158:H158"/>
    <mergeCell ref="I160:J160"/>
    <mergeCell ref="G160:H160"/>
    <mergeCell ref="I162:J162"/>
    <mergeCell ref="G162:H162"/>
    <mergeCell ref="I135:J135"/>
    <mergeCell ref="G135:H135"/>
    <mergeCell ref="I141:J141"/>
    <mergeCell ref="G141:H141"/>
    <mergeCell ref="I148:J148"/>
    <mergeCell ref="G148:H148"/>
    <mergeCell ref="I170:J170"/>
    <mergeCell ref="A172:J172"/>
    <mergeCell ref="I180:J180"/>
    <mergeCell ref="G180:H180"/>
    <mergeCell ref="I186:J186"/>
    <mergeCell ref="G186:H186"/>
    <mergeCell ref="I164:J164"/>
    <mergeCell ref="G164:H164"/>
    <mergeCell ref="A166:F166"/>
    <mergeCell ref="I166:J166"/>
    <mergeCell ref="G166:H166"/>
    <mergeCell ref="C168:H168"/>
    <mergeCell ref="I168:J168"/>
    <mergeCell ref="I212:J212"/>
    <mergeCell ref="G212:H212"/>
    <mergeCell ref="I214:J214"/>
    <mergeCell ref="G214:H214"/>
    <mergeCell ref="I216:J216"/>
    <mergeCell ref="G216:H216"/>
    <mergeCell ref="I194:J194"/>
    <mergeCell ref="G194:H194"/>
    <mergeCell ref="I202:J202"/>
    <mergeCell ref="G202:H202"/>
    <mergeCell ref="I210:J210"/>
    <mergeCell ref="G210:H210"/>
    <mergeCell ref="A224:F224"/>
    <mergeCell ref="I224:J224"/>
    <mergeCell ref="G224:H224"/>
    <mergeCell ref="C226:H226"/>
    <mergeCell ref="I226:J226"/>
    <mergeCell ref="I228:J228"/>
    <mergeCell ref="I218:J218"/>
    <mergeCell ref="G218:H218"/>
    <mergeCell ref="I220:J220"/>
    <mergeCell ref="G220:H220"/>
    <mergeCell ref="A222:F222"/>
    <mergeCell ref="I222:J222"/>
    <mergeCell ref="G222:H222"/>
    <mergeCell ref="C294:G294"/>
    <mergeCell ref="A296:B296"/>
    <mergeCell ref="C297:G297"/>
    <mergeCell ref="A170:F170"/>
    <mergeCell ref="A228:F228"/>
    <mergeCell ref="A232:F232"/>
    <mergeCell ref="G232:H232"/>
    <mergeCell ref="A290:F290"/>
    <mergeCell ref="G290:H290"/>
    <mergeCell ref="G282:H282"/>
    <mergeCell ref="A284:F284"/>
    <mergeCell ref="G284:H284"/>
    <mergeCell ref="A258:J258"/>
    <mergeCell ref="A260:J260"/>
    <mergeCell ref="E264:G264"/>
    <mergeCell ref="E265:G265"/>
    <mergeCell ref="E266:G266"/>
    <mergeCell ref="I276:J276"/>
    <mergeCell ref="G276:H276"/>
    <mergeCell ref="A251:J251"/>
    <mergeCell ref="A252:J252"/>
    <mergeCell ref="A254:J254"/>
    <mergeCell ref="A255:J255"/>
    <mergeCell ref="A257:J257"/>
    <mergeCell ref="I290:J290"/>
    <mergeCell ref="I232:J232"/>
    <mergeCell ref="A234:F234"/>
    <mergeCell ref="G234:H234"/>
    <mergeCell ref="I234:J234"/>
    <mergeCell ref="A288:F288"/>
    <mergeCell ref="G288:H288"/>
    <mergeCell ref="I288:J288"/>
    <mergeCell ref="A293:B293"/>
    <mergeCell ref="I282:J282"/>
    <mergeCell ref="I284:J284"/>
    <mergeCell ref="B244:E244"/>
    <mergeCell ref="G244:J244"/>
    <mergeCell ref="B247:E247"/>
    <mergeCell ref="G247:J247"/>
    <mergeCell ref="B248:E248"/>
    <mergeCell ref="G248:J248"/>
    <mergeCell ref="A236:B236"/>
    <mergeCell ref="C237:G237"/>
    <mergeCell ref="A239:B239"/>
    <mergeCell ref="C240:G240"/>
    <mergeCell ref="B243:E243"/>
    <mergeCell ref="G243:J243"/>
  </mergeCells>
  <pageMargins left="0.4" right="0.2" top="0.2" bottom="0.4" header="0.2" footer="0.2"/>
  <pageSetup paperSize="9" scale="68" fitToHeight="0" orientation="portrait" r:id="rId1"/>
  <headerFooter>
    <oddHeader>&amp;L&amp;8</oddHeader>
    <oddFooter>&amp;R&amp;P</oddFooter>
  </headerFooter>
  <rowBreaks count="2" manualBreakCount="2">
    <brk id="233" max="9" man="1"/>
    <brk id="2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61"/>
  <sheetViews>
    <sheetView topLeftCell="A145" workbookViewId="0">
      <selection activeCell="G169" sqref="G169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 t="s">
        <v>4</v>
      </c>
      <c r="G4" s="1" t="s">
        <v>5</v>
      </c>
      <c r="H4" s="1" t="s">
        <v>3</v>
      </c>
      <c r="I4" s="1" t="s">
        <v>3</v>
      </c>
      <c r="J4" s="1" t="s">
        <v>3</v>
      </c>
      <c r="K4" s="1" t="s">
        <v>3</v>
      </c>
      <c r="L4" s="1" t="s">
        <v>3</v>
      </c>
      <c r="M4" s="1" t="s">
        <v>3</v>
      </c>
      <c r="N4" s="1" t="s">
        <v>3</v>
      </c>
      <c r="O4" s="1" t="s">
        <v>3</v>
      </c>
      <c r="P4" s="1">
        <v>1984</v>
      </c>
      <c r="Q4" s="1" t="s">
        <v>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0</v>
      </c>
    </row>
    <row r="12" spans="1:133" x14ac:dyDescent="0.2">
      <c r="A12" s="1">
        <v>1</v>
      </c>
      <c r="B12" s="1">
        <v>256</v>
      </c>
      <c r="C12" s="1">
        <v>0</v>
      </c>
      <c r="D12" s="1">
        <f>ROW(A198)</f>
        <v>198</v>
      </c>
      <c r="E12" s="1">
        <v>0</v>
      </c>
      <c r="F12" s="1" t="s">
        <v>3</v>
      </c>
      <c r="G12" s="1" t="s">
        <v>6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7</v>
      </c>
      <c r="AC12" s="1" t="s">
        <v>8</v>
      </c>
      <c r="AD12" s="1" t="s">
        <v>9</v>
      </c>
      <c r="AE12" s="1" t="s">
        <v>10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11</v>
      </c>
      <c r="BI12" s="1" t="s">
        <v>12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13</v>
      </c>
      <c r="BZ12" s="1" t="s">
        <v>14</v>
      </c>
      <c r="CA12" s="1" t="s">
        <v>13</v>
      </c>
      <c r="CB12" s="1" t="s">
        <v>13</v>
      </c>
      <c r="CC12" s="1" t="s">
        <v>13</v>
      </c>
      <c r="CD12" s="1" t="s">
        <v>13</v>
      </c>
      <c r="CE12" s="1" t="s">
        <v>15</v>
      </c>
      <c r="CF12" s="1">
        <v>0</v>
      </c>
      <c r="CG12" s="1">
        <v>0</v>
      </c>
      <c r="CH12" s="1">
        <v>524296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B198</f>
        <v>256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Перефиксация КЛ-0,4 кВ из ИВРУ в СП-4</v>
      </c>
      <c r="H18" s="2"/>
      <c r="I18" s="2"/>
      <c r="J18" s="2"/>
      <c r="K18" s="2"/>
      <c r="L18" s="2"/>
      <c r="M18" s="2"/>
      <c r="N18" s="2"/>
      <c r="O18" s="2">
        <f t="shared" ref="O18:AT18" si="1">O198</f>
        <v>368178.05</v>
      </c>
      <c r="P18" s="2">
        <f t="shared" si="1"/>
        <v>313825.78000000003</v>
      </c>
      <c r="Q18" s="2">
        <f t="shared" si="1"/>
        <v>19683.72</v>
      </c>
      <c r="R18" s="2">
        <f t="shared" si="1"/>
        <v>7363.8</v>
      </c>
      <c r="S18" s="2">
        <f t="shared" si="1"/>
        <v>34668.550000000003</v>
      </c>
      <c r="T18" s="2">
        <f t="shared" si="1"/>
        <v>0</v>
      </c>
      <c r="U18" s="2">
        <f t="shared" si="1"/>
        <v>154.60589280000002</v>
      </c>
      <c r="V18" s="2">
        <f t="shared" si="1"/>
        <v>22.416739199999999</v>
      </c>
      <c r="W18" s="2">
        <f t="shared" si="1"/>
        <v>0</v>
      </c>
      <c r="X18" s="2">
        <f t="shared" si="1"/>
        <v>37943.629999999997</v>
      </c>
      <c r="Y18" s="2">
        <f t="shared" si="1"/>
        <v>23905.7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154585.5</v>
      </c>
      <c r="AP18" s="2">
        <f t="shared" si="1"/>
        <v>0</v>
      </c>
      <c r="AQ18" s="2">
        <f t="shared" si="1"/>
        <v>0</v>
      </c>
      <c r="AR18" s="2">
        <f t="shared" si="1"/>
        <v>440530.67</v>
      </c>
      <c r="AS18" s="2">
        <f t="shared" si="1"/>
        <v>245001.86</v>
      </c>
      <c r="AT18" s="2">
        <f t="shared" si="1"/>
        <v>192257.73</v>
      </c>
      <c r="AU18" s="2">
        <f t="shared" ref="AU18:BZ18" si="2">AU198</f>
        <v>3271.08</v>
      </c>
      <c r="AV18" s="2">
        <f t="shared" si="2"/>
        <v>159240.28</v>
      </c>
      <c r="AW18" s="2">
        <f t="shared" si="2"/>
        <v>313825.78000000003</v>
      </c>
      <c r="AX18" s="2">
        <f t="shared" si="2"/>
        <v>154585.5</v>
      </c>
      <c r="AY18" s="2">
        <f t="shared" si="2"/>
        <v>159240.28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CA198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DG198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EM198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FS198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ROW(A132)</f>
        <v>132</v>
      </c>
      <c r="E20" s="1"/>
      <c r="F20" s="1" t="s">
        <v>16</v>
      </c>
      <c r="G20" s="1" t="s">
        <v>6</v>
      </c>
      <c r="H20" s="1" t="s">
        <v>3</v>
      </c>
      <c r="I20" s="1">
        <v>0</v>
      </c>
      <c r="J20" s="1" t="s">
        <v>17</v>
      </c>
      <c r="K20" s="1">
        <v>-1</v>
      </c>
      <c r="L20" s="1" t="s">
        <v>16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</row>
    <row r="22" spans="1:245" x14ac:dyDescent="0.2">
      <c r="A22" s="2">
        <v>52</v>
      </c>
      <c r="B22" s="2">
        <f t="shared" ref="B22:G22" si="7">B132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9</v>
      </c>
      <c r="G22" s="2">
        <f t="shared" si="7"/>
        <v>0</v>
      </c>
      <c r="H22" s="2"/>
      <c r="I22" s="2"/>
      <c r="J22" s="2"/>
      <c r="K22" s="2"/>
      <c r="L22" s="2"/>
      <c r="M22" s="2"/>
      <c r="N22" s="2"/>
      <c r="O22" s="2">
        <f t="shared" ref="O22:AT22" si="8">O132</f>
        <v>366710.91</v>
      </c>
      <c r="P22" s="2">
        <f t="shared" si="8"/>
        <v>313825.78000000003</v>
      </c>
      <c r="Q22" s="2">
        <f t="shared" si="8"/>
        <v>19683.72</v>
      </c>
      <c r="R22" s="2">
        <f t="shared" si="8"/>
        <v>7363.8</v>
      </c>
      <c r="S22" s="2">
        <f t="shared" si="8"/>
        <v>33201.410000000003</v>
      </c>
      <c r="T22" s="2">
        <f t="shared" si="8"/>
        <v>0</v>
      </c>
      <c r="U22" s="2">
        <f t="shared" si="8"/>
        <v>150.17069280000001</v>
      </c>
      <c r="V22" s="2">
        <f t="shared" si="8"/>
        <v>22.416739199999999</v>
      </c>
      <c r="W22" s="2">
        <f t="shared" si="8"/>
        <v>0</v>
      </c>
      <c r="X22" s="2">
        <f t="shared" si="8"/>
        <v>37136.699999999997</v>
      </c>
      <c r="Y22" s="2">
        <f t="shared" si="8"/>
        <v>23436.21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154585.5</v>
      </c>
      <c r="AP22" s="2">
        <f t="shared" si="8"/>
        <v>0</v>
      </c>
      <c r="AQ22" s="2">
        <f t="shared" si="8"/>
        <v>0</v>
      </c>
      <c r="AR22" s="2">
        <f t="shared" si="8"/>
        <v>437787.11</v>
      </c>
      <c r="AS22" s="2">
        <f t="shared" si="8"/>
        <v>245001.86</v>
      </c>
      <c r="AT22" s="2">
        <f t="shared" si="8"/>
        <v>192257.73</v>
      </c>
      <c r="AU22" s="2">
        <f t="shared" ref="AU22:BZ22" si="9">AU132</f>
        <v>527.52</v>
      </c>
      <c r="AV22" s="2">
        <f t="shared" si="9"/>
        <v>159240.28</v>
      </c>
      <c r="AW22" s="2">
        <f t="shared" si="9"/>
        <v>313825.78000000003</v>
      </c>
      <c r="AX22" s="2">
        <f t="shared" si="9"/>
        <v>154585.5</v>
      </c>
      <c r="AY22" s="2">
        <f t="shared" si="9"/>
        <v>159240.28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CA132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DG132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EM132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FS132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ROW(A58)</f>
        <v>58</v>
      </c>
      <c r="E24" s="1"/>
      <c r="F24" s="1" t="s">
        <v>18</v>
      </c>
      <c r="G24" s="1" t="s">
        <v>19</v>
      </c>
      <c r="H24" s="1" t="s">
        <v>3</v>
      </c>
      <c r="I24" s="1">
        <v>0</v>
      </c>
      <c r="J24" s="1"/>
      <c r="K24" s="1">
        <v>0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B58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Строительно-монтажные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O58</f>
        <v>363117.78</v>
      </c>
      <c r="P26" s="2">
        <f t="shared" si="15"/>
        <v>313825.78000000003</v>
      </c>
      <c r="Q26" s="2">
        <f t="shared" si="15"/>
        <v>18131.900000000001</v>
      </c>
      <c r="R26" s="2">
        <f t="shared" si="15"/>
        <v>6773.88</v>
      </c>
      <c r="S26" s="2">
        <f t="shared" si="15"/>
        <v>31160.1</v>
      </c>
      <c r="T26" s="2">
        <f t="shared" si="15"/>
        <v>0</v>
      </c>
      <c r="U26" s="2">
        <f t="shared" si="15"/>
        <v>141.6735888</v>
      </c>
      <c r="V26" s="2">
        <f t="shared" si="15"/>
        <v>20.578819199999998</v>
      </c>
      <c r="W26" s="2">
        <f t="shared" si="15"/>
        <v>0</v>
      </c>
      <c r="X26" s="2">
        <f t="shared" si="15"/>
        <v>35051.5</v>
      </c>
      <c r="Y26" s="2">
        <f t="shared" si="15"/>
        <v>21883.599999999999</v>
      </c>
      <c r="Z26" s="2">
        <f t="shared" si="15"/>
        <v>0</v>
      </c>
      <c r="AA26" s="2">
        <f t="shared" si="15"/>
        <v>0</v>
      </c>
      <c r="AB26" s="2">
        <f t="shared" si="15"/>
        <v>363117.78</v>
      </c>
      <c r="AC26" s="2">
        <f t="shared" si="15"/>
        <v>313825.78000000003</v>
      </c>
      <c r="AD26" s="2">
        <f t="shared" si="15"/>
        <v>18131.900000000001</v>
      </c>
      <c r="AE26" s="2">
        <f t="shared" si="15"/>
        <v>6773.88</v>
      </c>
      <c r="AF26" s="2">
        <f t="shared" si="15"/>
        <v>31160.1</v>
      </c>
      <c r="AG26" s="2">
        <f t="shared" si="15"/>
        <v>0</v>
      </c>
      <c r="AH26" s="2">
        <f t="shared" si="15"/>
        <v>141.6735888</v>
      </c>
      <c r="AI26" s="2">
        <f t="shared" si="15"/>
        <v>20.578819199999998</v>
      </c>
      <c r="AJ26" s="2">
        <f t="shared" si="15"/>
        <v>0</v>
      </c>
      <c r="AK26" s="2">
        <f t="shared" si="15"/>
        <v>35051.5</v>
      </c>
      <c r="AL26" s="2">
        <f t="shared" si="15"/>
        <v>21883.599999999999</v>
      </c>
      <c r="AM26" s="2">
        <f t="shared" si="15"/>
        <v>0</v>
      </c>
      <c r="AN26" s="2">
        <f t="shared" si="15"/>
        <v>0</v>
      </c>
      <c r="AO26" s="2">
        <f t="shared" si="15"/>
        <v>154585.5</v>
      </c>
      <c r="AP26" s="2">
        <f t="shared" si="15"/>
        <v>0</v>
      </c>
      <c r="AQ26" s="2">
        <f t="shared" si="15"/>
        <v>0</v>
      </c>
      <c r="AR26" s="2">
        <f t="shared" si="15"/>
        <v>430487.99</v>
      </c>
      <c r="AS26" s="2">
        <f t="shared" si="15"/>
        <v>241557.27</v>
      </c>
      <c r="AT26" s="2">
        <f t="shared" si="15"/>
        <v>188403.20000000001</v>
      </c>
      <c r="AU26" s="2">
        <f t="shared" ref="AU26:BZ26" si="16">AU58</f>
        <v>527.52</v>
      </c>
      <c r="AV26" s="2">
        <f t="shared" si="16"/>
        <v>159240.28</v>
      </c>
      <c r="AW26" s="2">
        <f t="shared" si="16"/>
        <v>313825.78000000003</v>
      </c>
      <c r="AX26" s="2">
        <f t="shared" si="16"/>
        <v>154585.5</v>
      </c>
      <c r="AY26" s="2">
        <f t="shared" si="16"/>
        <v>159240.28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154585.5</v>
      </c>
      <c r="BY26" s="2">
        <f t="shared" si="16"/>
        <v>0</v>
      </c>
      <c r="BZ26" s="2">
        <f t="shared" si="16"/>
        <v>0</v>
      </c>
      <c r="CA26" s="2">
        <f t="shared" ref="CA26:DF26" si="17">CA58</f>
        <v>430487.99</v>
      </c>
      <c r="CB26" s="2">
        <f t="shared" si="17"/>
        <v>241557.27</v>
      </c>
      <c r="CC26" s="2">
        <f t="shared" si="17"/>
        <v>188403.20000000001</v>
      </c>
      <c r="CD26" s="2">
        <f t="shared" si="17"/>
        <v>527.52</v>
      </c>
      <c r="CE26" s="2">
        <f t="shared" si="17"/>
        <v>159240.28000000003</v>
      </c>
      <c r="CF26" s="2">
        <f t="shared" si="17"/>
        <v>313825.78000000003</v>
      </c>
      <c r="CG26" s="2">
        <f t="shared" si="17"/>
        <v>154585.5</v>
      </c>
      <c r="CH26" s="2">
        <f t="shared" si="17"/>
        <v>159240.28000000003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DG58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EM58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FS58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E28" t="s">
        <v>20</v>
      </c>
      <c r="F28" t="s">
        <v>21</v>
      </c>
      <c r="G28" t="s">
        <v>22</v>
      </c>
      <c r="H28" t="s">
        <v>23</v>
      </c>
      <c r="I28">
        <v>43.2</v>
      </c>
      <c r="J28">
        <v>0</v>
      </c>
      <c r="O28">
        <f>0</f>
        <v>0</v>
      </c>
      <c r="P28">
        <f>0</f>
        <v>0</v>
      </c>
      <c r="Q28">
        <f>0</f>
        <v>0</v>
      </c>
      <c r="R28">
        <f>0</f>
        <v>0</v>
      </c>
      <c r="S28">
        <f>0</f>
        <v>0</v>
      </c>
      <c r="T28">
        <f>0</f>
        <v>0</v>
      </c>
      <c r="U28">
        <f>0</f>
        <v>0</v>
      </c>
      <c r="V28">
        <f>0</f>
        <v>0</v>
      </c>
      <c r="W28">
        <f>0</f>
        <v>0</v>
      </c>
      <c r="X28">
        <f>0</f>
        <v>0</v>
      </c>
      <c r="Y28">
        <f>0</f>
        <v>0</v>
      </c>
      <c r="AA28">
        <v>35891596</v>
      </c>
      <c r="AB28">
        <f>ROUND((AK28),2)</f>
        <v>10.4</v>
      </c>
      <c r="AC28">
        <f>0</f>
        <v>0</v>
      </c>
      <c r="AD28">
        <f>0</f>
        <v>0</v>
      </c>
      <c r="AE28">
        <f>0</f>
        <v>0</v>
      </c>
      <c r="AF28">
        <f>0</f>
        <v>0</v>
      </c>
      <c r="AG28">
        <f>0</f>
        <v>0</v>
      </c>
      <c r="AH28">
        <f>0</f>
        <v>0</v>
      </c>
      <c r="AI28">
        <f>0</f>
        <v>0</v>
      </c>
      <c r="AJ28">
        <f>0</f>
        <v>0</v>
      </c>
      <c r="AK28">
        <v>10.4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</v>
      </c>
      <c r="AW28">
        <v>1</v>
      </c>
      <c r="AZ28">
        <v>13.52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24</v>
      </c>
      <c r="BM28">
        <v>700004</v>
      </c>
      <c r="BN28">
        <v>0</v>
      </c>
      <c r="BO28" t="s">
        <v>21</v>
      </c>
      <c r="BP28">
        <v>1</v>
      </c>
      <c r="BQ28">
        <v>19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0</v>
      </c>
      <c r="CA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>AB28*AZ28</f>
        <v>140.608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23</v>
      </c>
      <c r="DW28" t="s">
        <v>23</v>
      </c>
      <c r="DX28">
        <v>1</v>
      </c>
      <c r="EE28">
        <v>31266032</v>
      </c>
      <c r="EF28">
        <v>19</v>
      </c>
      <c r="EG28" t="s">
        <v>25</v>
      </c>
      <c r="EH28">
        <v>0</v>
      </c>
      <c r="EI28" t="s">
        <v>3</v>
      </c>
      <c r="EJ28">
        <v>1</v>
      </c>
      <c r="EK28">
        <v>700004</v>
      </c>
      <c r="EL28" t="s">
        <v>26</v>
      </c>
      <c r="EM28" t="s">
        <v>27</v>
      </c>
      <c r="EO28" t="s">
        <v>3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FQ28">
        <v>0</v>
      </c>
      <c r="FR28">
        <f t="shared" ref="FR28:FR56" si="21">ROUND(IF(AND(BH28=3,BI28=3),P28,0),2)</f>
        <v>0</v>
      </c>
      <c r="FS28">
        <v>0</v>
      </c>
      <c r="FX28">
        <v>0</v>
      </c>
      <c r="FY28">
        <v>0</v>
      </c>
      <c r="GA28" t="s">
        <v>3</v>
      </c>
      <c r="GD28">
        <v>0</v>
      </c>
      <c r="GF28">
        <v>1375969549</v>
      </c>
      <c r="GG28">
        <v>2</v>
      </c>
      <c r="GH28">
        <v>1</v>
      </c>
      <c r="GI28">
        <v>2</v>
      </c>
      <c r="GJ28">
        <v>2</v>
      </c>
      <c r="GK28">
        <f>ROUND(R28*(R12)/100,2)</f>
        <v>0</v>
      </c>
      <c r="GL28">
        <f t="shared" ref="GL28:GL56" si="22">ROUND(IF(AND(BH28=3,BI28=3,FS28&lt;&gt;0),P28,0),2)</f>
        <v>0</v>
      </c>
      <c r="GM28">
        <f>ROUND(CP28*I28,2)</f>
        <v>6074.27</v>
      </c>
      <c r="GN28">
        <f>IF(OR(BI28=0,BI28=1),ROUND(CP28*I28,2),0)</f>
        <v>6074.27</v>
      </c>
      <c r="GO28">
        <f>IF(BI28=2,ROUND(CP28*I28,2),0)</f>
        <v>0</v>
      </c>
      <c r="GP28">
        <f>IF(BI28=4,ROUND(CP28*I28,2)+GX28,0)</f>
        <v>0</v>
      </c>
      <c r="GR28">
        <v>0</v>
      </c>
      <c r="GS28">
        <v>3</v>
      </c>
      <c r="GU28" t="s">
        <v>3</v>
      </c>
      <c r="GV28">
        <f>0</f>
        <v>0</v>
      </c>
      <c r="GW28">
        <v>1</v>
      </c>
      <c r="GX28">
        <f t="shared" ref="GX28:GX56" si="23">ROUND(GV28*GW28*I28,2)</f>
        <v>0</v>
      </c>
      <c r="GY28">
        <v>0</v>
      </c>
      <c r="GZ28">
        <v>0</v>
      </c>
      <c r="HA28">
        <v>0</v>
      </c>
      <c r="HB28">
        <v>0</v>
      </c>
      <c r="IK28">
        <v>0</v>
      </c>
    </row>
    <row r="29" spans="1:245" x14ac:dyDescent="0.2">
      <c r="A29">
        <v>17</v>
      </c>
      <c r="B29">
        <v>1</v>
      </c>
      <c r="E29" t="s">
        <v>28</v>
      </c>
      <c r="F29" t="s">
        <v>29</v>
      </c>
      <c r="G29" t="s">
        <v>30</v>
      </c>
      <c r="H29" t="s">
        <v>23</v>
      </c>
      <c r="I29">
        <v>43.2</v>
      </c>
      <c r="J29">
        <v>0</v>
      </c>
      <c r="O29">
        <f>0</f>
        <v>0</v>
      </c>
      <c r="P29">
        <f>0</f>
        <v>0</v>
      </c>
      <c r="Q29">
        <f>0</f>
        <v>0</v>
      </c>
      <c r="R29">
        <f>0</f>
        <v>0</v>
      </c>
      <c r="S29">
        <f>0</f>
        <v>0</v>
      </c>
      <c r="T29">
        <f>0</f>
        <v>0</v>
      </c>
      <c r="U29">
        <f>0</f>
        <v>0</v>
      </c>
      <c r="V29">
        <f>0</f>
        <v>0</v>
      </c>
      <c r="W29">
        <f>0</f>
        <v>0</v>
      </c>
      <c r="X29">
        <f>0</f>
        <v>0</v>
      </c>
      <c r="Y29">
        <f>0</f>
        <v>0</v>
      </c>
      <c r="AA29">
        <v>35891596</v>
      </c>
      <c r="AB29">
        <f>ROUND((AK29),2)</f>
        <v>3.86</v>
      </c>
      <c r="AC29">
        <f>0</f>
        <v>0</v>
      </c>
      <c r="AD29">
        <f>0</f>
        <v>0</v>
      </c>
      <c r="AE29">
        <f>0</f>
        <v>0</v>
      </c>
      <c r="AF29">
        <f>0</f>
        <v>0</v>
      </c>
      <c r="AG29">
        <f>0</f>
        <v>0</v>
      </c>
      <c r="AH29">
        <f>0</f>
        <v>0</v>
      </c>
      <c r="AI29">
        <f>0</f>
        <v>0</v>
      </c>
      <c r="AJ29">
        <f>0</f>
        <v>0</v>
      </c>
      <c r="AK29">
        <v>3.86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7.72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31</v>
      </c>
      <c r="BM29">
        <v>700005</v>
      </c>
      <c r="BN29">
        <v>0</v>
      </c>
      <c r="BO29" t="s">
        <v>29</v>
      </c>
      <c r="BP29">
        <v>1</v>
      </c>
      <c r="BQ29">
        <v>10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0</v>
      </c>
      <c r="CA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>AB29*AZ29</f>
        <v>29.799199999999999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23</v>
      </c>
      <c r="DW29" t="s">
        <v>23</v>
      </c>
      <c r="DX29">
        <v>1</v>
      </c>
      <c r="EE29">
        <v>31266033</v>
      </c>
      <c r="EF29">
        <v>10</v>
      </c>
      <c r="EG29" t="s">
        <v>32</v>
      </c>
      <c r="EH29">
        <v>0</v>
      </c>
      <c r="EI29" t="s">
        <v>3</v>
      </c>
      <c r="EJ29">
        <v>1</v>
      </c>
      <c r="EK29">
        <v>700005</v>
      </c>
      <c r="EL29" t="s">
        <v>33</v>
      </c>
      <c r="EM29" t="s">
        <v>34</v>
      </c>
      <c r="EO29" t="s">
        <v>3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FQ29">
        <v>0</v>
      </c>
      <c r="FR29">
        <f t="shared" si="21"/>
        <v>0</v>
      </c>
      <c r="FS29">
        <v>0</v>
      </c>
      <c r="FX29">
        <v>0</v>
      </c>
      <c r="FY29">
        <v>0</v>
      </c>
      <c r="GA29" t="s">
        <v>3</v>
      </c>
      <c r="GD29">
        <v>0</v>
      </c>
      <c r="GF29">
        <v>-1663723109</v>
      </c>
      <c r="GG29">
        <v>2</v>
      </c>
      <c r="GH29">
        <v>1</v>
      </c>
      <c r="GI29">
        <v>2</v>
      </c>
      <c r="GJ29">
        <v>2</v>
      </c>
      <c r="GK29">
        <f>ROUND(R29*(R12)/100,2)</f>
        <v>0</v>
      </c>
      <c r="GL29">
        <f t="shared" si="22"/>
        <v>0</v>
      </c>
      <c r="GM29">
        <f>ROUND(CP29*I29,2)</f>
        <v>1287.33</v>
      </c>
      <c r="GN29">
        <f>IF(OR(BI29=0,BI29=1),ROUND(CP29*I29,2),0)</f>
        <v>1287.33</v>
      </c>
      <c r="GO29">
        <f>IF(BI29=2,ROUND(CP29*I29,2),0)</f>
        <v>0</v>
      </c>
      <c r="GP29">
        <f>IF(BI29=4,ROUND(CP29*I29,2)+GX29,0)</f>
        <v>0</v>
      </c>
      <c r="GR29">
        <v>0</v>
      </c>
      <c r="GS29">
        <v>3</v>
      </c>
      <c r="GU29" t="s">
        <v>3</v>
      </c>
      <c r="GV29">
        <f>0</f>
        <v>0</v>
      </c>
      <c r="GW29">
        <v>1</v>
      </c>
      <c r="GX29">
        <f t="shared" si="23"/>
        <v>0</v>
      </c>
      <c r="GY29">
        <v>0</v>
      </c>
      <c r="GZ29">
        <v>0</v>
      </c>
      <c r="HA29">
        <v>0</v>
      </c>
      <c r="HB29">
        <v>0</v>
      </c>
      <c r="IK29">
        <v>0</v>
      </c>
    </row>
    <row r="30" spans="1:245" x14ac:dyDescent="0.2">
      <c r="A30">
        <v>17</v>
      </c>
      <c r="B30">
        <v>1</v>
      </c>
      <c r="C30">
        <f>ROW(SmtRes!A6)</f>
        <v>6</v>
      </c>
      <c r="D30">
        <f>ROW(EtalonRes!A7)</f>
        <v>7</v>
      </c>
      <c r="E30" t="s">
        <v>35</v>
      </c>
      <c r="F30" t="s">
        <v>36</v>
      </c>
      <c r="G30" t="s">
        <v>37</v>
      </c>
      <c r="H30" t="s">
        <v>38</v>
      </c>
      <c r="I30">
        <f>ROUND(17.28/100,9)</f>
        <v>0.17280000000000001</v>
      </c>
      <c r="J30">
        <v>0</v>
      </c>
      <c r="O30">
        <f>ROUND(CP30,2)</f>
        <v>12736.38</v>
      </c>
      <c r="P30">
        <f>ROUND(CQ30*I30,2)</f>
        <v>116.06</v>
      </c>
      <c r="Q30">
        <f>ROUND(CR30*I30,2)</f>
        <v>6358.05</v>
      </c>
      <c r="R30">
        <f>ROUND(CS30*I30,2)</f>
        <v>2485.19</v>
      </c>
      <c r="S30">
        <f>ROUND(CT30*I30,2)</f>
        <v>6262.27</v>
      </c>
      <c r="T30">
        <f>ROUND(CU30*I30,2)</f>
        <v>0</v>
      </c>
      <c r="U30">
        <f>CV30*I30</f>
        <v>28.930867200000002</v>
      </c>
      <c r="V30">
        <f>CW30*I30</f>
        <v>7.1311104000000007</v>
      </c>
      <c r="W30">
        <f>ROUND(CX30*I30,2)</f>
        <v>0</v>
      </c>
      <c r="X30">
        <f t="shared" ref="X30:Y32" si="24">ROUND(CY30,2)</f>
        <v>10584.43</v>
      </c>
      <c r="Y30">
        <f t="shared" si="24"/>
        <v>6648.07</v>
      </c>
      <c r="AA30">
        <v>35891596</v>
      </c>
      <c r="AB30">
        <f>ROUND((AC30+AD30+AF30),2)</f>
        <v>6096.44</v>
      </c>
      <c r="AC30">
        <f>ROUND((ES30),2)</f>
        <v>65.209999999999994</v>
      </c>
      <c r="AD30">
        <f>ROUND(((((ET30*1.2))-((EU30*1.2)))+AE30),2)</f>
        <v>4628.21</v>
      </c>
      <c r="AE30">
        <f>ROUND(((EU30*1.2)),2)</f>
        <v>556.79</v>
      </c>
      <c r="AF30">
        <f>ROUND(((EV30*1.2)),2)</f>
        <v>1403.02</v>
      </c>
      <c r="AG30">
        <f>ROUND((AP30),2)</f>
        <v>0</v>
      </c>
      <c r="AH30">
        <f>((EW30*1.2))</f>
        <v>167.42400000000001</v>
      </c>
      <c r="AI30">
        <f>((EX30*1.2))</f>
        <v>41.268000000000001</v>
      </c>
      <c r="AJ30">
        <f>ROUND((AS30),2)</f>
        <v>0</v>
      </c>
      <c r="AK30">
        <v>5091.2299999999996</v>
      </c>
      <c r="AL30">
        <v>65.209999999999994</v>
      </c>
      <c r="AM30">
        <v>3856.84</v>
      </c>
      <c r="AN30">
        <v>463.99</v>
      </c>
      <c r="AO30">
        <v>1169.18</v>
      </c>
      <c r="AP30">
        <v>0</v>
      </c>
      <c r="AQ30">
        <v>139.52000000000001</v>
      </c>
      <c r="AR30">
        <v>34.39</v>
      </c>
      <c r="AS30">
        <v>0</v>
      </c>
      <c r="AT30">
        <v>121</v>
      </c>
      <c r="AU30">
        <v>76</v>
      </c>
      <c r="AV30">
        <v>1</v>
      </c>
      <c r="AW30">
        <v>1</v>
      </c>
      <c r="AZ30">
        <v>1</v>
      </c>
      <c r="BA30">
        <v>25.83</v>
      </c>
      <c r="BB30">
        <v>7.95</v>
      </c>
      <c r="BC30">
        <v>10.3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39</v>
      </c>
      <c r="BM30">
        <v>27003</v>
      </c>
      <c r="BN30">
        <v>0</v>
      </c>
      <c r="BO30" t="s">
        <v>36</v>
      </c>
      <c r="BP30">
        <v>1</v>
      </c>
      <c r="BQ30">
        <v>2</v>
      </c>
      <c r="BR30">
        <v>0</v>
      </c>
      <c r="BS30">
        <v>25.83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142</v>
      </c>
      <c r="CA30">
        <v>95</v>
      </c>
      <c r="CF30">
        <v>0</v>
      </c>
      <c r="CG30">
        <v>0</v>
      </c>
      <c r="CM30">
        <v>0</v>
      </c>
      <c r="CN30" t="s">
        <v>472</v>
      </c>
      <c r="CO30">
        <v>0</v>
      </c>
      <c r="CP30">
        <f>(P30+Q30+S30)</f>
        <v>12736.380000000001</v>
      </c>
      <c r="CQ30">
        <f>AC30*BC30</f>
        <v>671.66300000000001</v>
      </c>
      <c r="CR30">
        <f>AD30*BB30</f>
        <v>36794.269500000002</v>
      </c>
      <c r="CS30">
        <f>AE30*BS30</f>
        <v>14381.885699999999</v>
      </c>
      <c r="CT30">
        <f>AF30*BA30</f>
        <v>36240.006600000001</v>
      </c>
      <c r="CU30">
        <f t="shared" ref="CU30:CX32" si="25">AG30</f>
        <v>0</v>
      </c>
      <c r="CV30">
        <f t="shared" si="25"/>
        <v>167.42400000000001</v>
      </c>
      <c r="CW30">
        <f t="shared" si="25"/>
        <v>41.268000000000001</v>
      </c>
      <c r="CX30">
        <f t="shared" si="25"/>
        <v>0</v>
      </c>
      <c r="CY30">
        <f>(((S30+R30)*AT30)/100)</f>
        <v>10584.426600000001</v>
      </c>
      <c r="CZ30">
        <f>(((S30+R30)*AU30)/100)</f>
        <v>6648.0696000000007</v>
      </c>
      <c r="DC30" t="s">
        <v>3</v>
      </c>
      <c r="DD30" t="s">
        <v>3</v>
      </c>
      <c r="DE30" t="s">
        <v>40</v>
      </c>
      <c r="DF30" t="s">
        <v>40</v>
      </c>
      <c r="DG30" t="s">
        <v>40</v>
      </c>
      <c r="DH30" t="s">
        <v>3</v>
      </c>
      <c r="DI30" t="s">
        <v>40</v>
      </c>
      <c r="DJ30" t="s">
        <v>40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1007</v>
      </c>
      <c r="DV30" t="s">
        <v>38</v>
      </c>
      <c r="DW30" t="s">
        <v>38</v>
      </c>
      <c r="DX30">
        <v>100</v>
      </c>
      <c r="EE30">
        <v>31265883</v>
      </c>
      <c r="EF30">
        <v>2</v>
      </c>
      <c r="EG30" t="s">
        <v>41</v>
      </c>
      <c r="EH30">
        <v>0</v>
      </c>
      <c r="EI30" t="s">
        <v>3</v>
      </c>
      <c r="EJ30">
        <v>1</v>
      </c>
      <c r="EK30">
        <v>27003</v>
      </c>
      <c r="EL30" t="s">
        <v>42</v>
      </c>
      <c r="EM30" t="s">
        <v>43</v>
      </c>
      <c r="EO30" t="s">
        <v>44</v>
      </c>
      <c r="EQ30">
        <v>512</v>
      </c>
      <c r="ER30">
        <v>5091.2299999999996</v>
      </c>
      <c r="ES30">
        <v>65.209999999999994</v>
      </c>
      <c r="ET30">
        <v>3856.84</v>
      </c>
      <c r="EU30">
        <v>463.99</v>
      </c>
      <c r="EV30">
        <v>1169.18</v>
      </c>
      <c r="EW30">
        <v>139.52000000000001</v>
      </c>
      <c r="EX30">
        <v>34.39</v>
      </c>
      <c r="EY30">
        <v>0</v>
      </c>
      <c r="FQ30">
        <v>0</v>
      </c>
      <c r="FR30">
        <f t="shared" si="21"/>
        <v>0</v>
      </c>
      <c r="FS30">
        <v>0</v>
      </c>
      <c r="FV30" t="s">
        <v>45</v>
      </c>
      <c r="FW30" t="s">
        <v>46</v>
      </c>
      <c r="FX30">
        <v>142</v>
      </c>
      <c r="FY30">
        <v>95</v>
      </c>
      <c r="GA30" t="s">
        <v>3</v>
      </c>
      <c r="GD30">
        <v>0</v>
      </c>
      <c r="GF30">
        <v>-1208374632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 t="shared" si="22"/>
        <v>0</v>
      </c>
      <c r="GM30">
        <f>ROUND(O30+X30+Y30+GK30,2)+GX30</f>
        <v>29968.880000000001</v>
      </c>
      <c r="GN30">
        <f>IF(OR(BI30=0,BI30=1),ROUND(O30+X30+Y30+GK30,2),0)</f>
        <v>29968.880000000001</v>
      </c>
      <c r="GO30">
        <f>IF(BI30=2,ROUND(O30+X30+Y30+GK30,2),0)</f>
        <v>0</v>
      </c>
      <c r="GP30">
        <f>IF(BI30=4,ROUND(O30+X30+Y30+GK30,2)+GX30,0)</f>
        <v>0</v>
      </c>
      <c r="GR30">
        <v>0</v>
      </c>
      <c r="GS30">
        <v>3</v>
      </c>
      <c r="GT30">
        <v>0</v>
      </c>
      <c r="GU30" t="s">
        <v>3</v>
      </c>
      <c r="GV30">
        <f>ROUND(GT30,2)</f>
        <v>0</v>
      </c>
      <c r="GW30">
        <v>1</v>
      </c>
      <c r="GX30">
        <f t="shared" si="23"/>
        <v>0</v>
      </c>
      <c r="HA30">
        <v>0</v>
      </c>
      <c r="HB30">
        <v>0</v>
      </c>
      <c r="IK30">
        <v>0</v>
      </c>
    </row>
    <row r="31" spans="1:245" x14ac:dyDescent="0.2">
      <c r="A31">
        <v>17</v>
      </c>
      <c r="B31">
        <v>1</v>
      </c>
      <c r="E31" t="s">
        <v>47</v>
      </c>
      <c r="F31" t="s">
        <v>48</v>
      </c>
      <c r="G31" t="s">
        <v>49</v>
      </c>
      <c r="H31" t="s">
        <v>50</v>
      </c>
      <c r="I31">
        <v>17.28</v>
      </c>
      <c r="J31">
        <v>0</v>
      </c>
      <c r="O31">
        <f>ROUND(CP31,2)</f>
        <v>154585.5</v>
      </c>
      <c r="P31">
        <f>ROUND(CQ31*I31,2)</f>
        <v>154585.5</v>
      </c>
      <c r="Q31">
        <f>ROUND(CR31*I31,2)</f>
        <v>0</v>
      </c>
      <c r="R31">
        <f>ROUND(CS31*I31,2)</f>
        <v>0</v>
      </c>
      <c r="S31">
        <f>ROUND(CT31*I31,2)</f>
        <v>0</v>
      </c>
      <c r="T31">
        <f>ROUND(CU31*I31,2)</f>
        <v>0</v>
      </c>
      <c r="U31">
        <f>CV31*I31</f>
        <v>0</v>
      </c>
      <c r="V31">
        <f>CW31*I31</f>
        <v>0</v>
      </c>
      <c r="W31">
        <f>ROUND(CX31*I31,2)</f>
        <v>0</v>
      </c>
      <c r="X31">
        <f t="shared" si="24"/>
        <v>0</v>
      </c>
      <c r="Y31">
        <f t="shared" si="24"/>
        <v>0</v>
      </c>
      <c r="AA31">
        <v>35891596</v>
      </c>
      <c r="AB31">
        <f>ROUND((AC31+AD31+AF31),2)</f>
        <v>964</v>
      </c>
      <c r="AC31">
        <f>ROUND((ES31),2)</f>
        <v>964</v>
      </c>
      <c r="AD31">
        <f>ROUND((((ET31)-(EU31))+AE31),2)</f>
        <v>0</v>
      </c>
      <c r="AE31">
        <f>ROUND((EU31),2)</f>
        <v>0</v>
      </c>
      <c r="AF31">
        <f>ROUND((EV31),2)</f>
        <v>0</v>
      </c>
      <c r="AG31">
        <f>ROUND((AP31),2)</f>
        <v>0</v>
      </c>
      <c r="AH31">
        <f>(EW31)</f>
        <v>0</v>
      </c>
      <c r="AI31">
        <f>(EX31)</f>
        <v>0</v>
      </c>
      <c r="AJ31">
        <f>ROUND((AS31),2)</f>
        <v>0</v>
      </c>
      <c r="AK31">
        <v>964</v>
      </c>
      <c r="AL31">
        <v>964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9.2799999999999994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1</v>
      </c>
      <c r="BJ31" t="s">
        <v>51</v>
      </c>
      <c r="BM31">
        <v>500001</v>
      </c>
      <c r="BN31">
        <v>0</v>
      </c>
      <c r="BO31" t="s">
        <v>52</v>
      </c>
      <c r="BP31">
        <v>1</v>
      </c>
      <c r="BQ31">
        <v>8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0</v>
      </c>
      <c r="CA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>(P31+Q31+S31)</f>
        <v>154585.5</v>
      </c>
      <c r="CQ31">
        <f>AC31*BC31</f>
        <v>8945.92</v>
      </c>
      <c r="CR31">
        <f>AD31*BB31</f>
        <v>0</v>
      </c>
      <c r="CS31">
        <f>AE31*BS31</f>
        <v>0</v>
      </c>
      <c r="CT31">
        <f>AF31*BA31</f>
        <v>0</v>
      </c>
      <c r="CU31">
        <f t="shared" si="25"/>
        <v>0</v>
      </c>
      <c r="CV31">
        <f t="shared" si="25"/>
        <v>0</v>
      </c>
      <c r="CW31">
        <f t="shared" si="25"/>
        <v>0</v>
      </c>
      <c r="CX31">
        <f t="shared" si="25"/>
        <v>0</v>
      </c>
      <c r="CY31">
        <f>(((S31+R31)*AT31)/100)</f>
        <v>0</v>
      </c>
      <c r="CZ31">
        <f>(((S31+R31)*AU31)/100)</f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1007</v>
      </c>
      <c r="DV31" t="s">
        <v>50</v>
      </c>
      <c r="DW31" t="s">
        <v>50</v>
      </c>
      <c r="DX31">
        <v>1</v>
      </c>
      <c r="EE31">
        <v>31266022</v>
      </c>
      <c r="EF31">
        <v>8</v>
      </c>
      <c r="EG31" t="s">
        <v>53</v>
      </c>
      <c r="EH31">
        <v>0</v>
      </c>
      <c r="EI31" t="s">
        <v>3</v>
      </c>
      <c r="EJ31">
        <v>1</v>
      </c>
      <c r="EK31">
        <v>500001</v>
      </c>
      <c r="EL31" t="s">
        <v>54</v>
      </c>
      <c r="EM31" t="s">
        <v>55</v>
      </c>
      <c r="EO31" t="s">
        <v>3</v>
      </c>
      <c r="EQ31">
        <v>0</v>
      </c>
      <c r="ER31">
        <v>964</v>
      </c>
      <c r="ES31">
        <v>964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154585.5</v>
      </c>
      <c r="FR31">
        <f t="shared" si="21"/>
        <v>0</v>
      </c>
      <c r="FS31">
        <v>1</v>
      </c>
      <c r="FX31">
        <v>0</v>
      </c>
      <c r="FY31">
        <v>0</v>
      </c>
      <c r="GA31" t="s">
        <v>3</v>
      </c>
      <c r="GD31">
        <v>0</v>
      </c>
      <c r="GF31">
        <v>212161322</v>
      </c>
      <c r="GG31">
        <v>2</v>
      </c>
      <c r="GH31">
        <v>1</v>
      </c>
      <c r="GI31">
        <v>2</v>
      </c>
      <c r="GJ31">
        <v>0</v>
      </c>
      <c r="GK31">
        <f>ROUND(R31*(R12)/100,2)</f>
        <v>0</v>
      </c>
      <c r="GL31">
        <f t="shared" si="22"/>
        <v>0</v>
      </c>
      <c r="GM31">
        <f>ROUND(O31+X31+Y31+GK31,2)+GX31</f>
        <v>154585.5</v>
      </c>
      <c r="GN31">
        <f>IF(OR(BI31=0,BI31=1),ROUND(O31+X31+Y31+GK31,2),0)</f>
        <v>154585.5</v>
      </c>
      <c r="GO31">
        <f>IF(BI31=2,ROUND(O31+X31+Y31+GK31,2),0)</f>
        <v>0</v>
      </c>
      <c r="GP31">
        <f>IF(BI31=4,ROUND(O31+X31+Y31+GK31,2)+GX31,0)</f>
        <v>0</v>
      </c>
      <c r="GR31">
        <v>0</v>
      </c>
      <c r="GS31">
        <v>3</v>
      </c>
      <c r="GT31">
        <v>0</v>
      </c>
      <c r="GU31" t="s">
        <v>3</v>
      </c>
      <c r="GV31">
        <f>ROUND(GT31,2)</f>
        <v>0</v>
      </c>
      <c r="GW31">
        <v>1</v>
      </c>
      <c r="GX31">
        <f t="shared" si="23"/>
        <v>0</v>
      </c>
      <c r="HA31">
        <v>0</v>
      </c>
      <c r="HB31">
        <v>0</v>
      </c>
      <c r="IK31">
        <v>0</v>
      </c>
    </row>
    <row r="32" spans="1:245" x14ac:dyDescent="0.2">
      <c r="A32">
        <v>17</v>
      </c>
      <c r="B32">
        <v>1</v>
      </c>
      <c r="C32">
        <f>ROW(SmtRes!A12)</f>
        <v>12</v>
      </c>
      <c r="D32">
        <f>ROW(EtalonRes!A13)</f>
        <v>13</v>
      </c>
      <c r="E32" t="s">
        <v>56</v>
      </c>
      <c r="F32" t="s">
        <v>57</v>
      </c>
      <c r="G32" t="s">
        <v>58</v>
      </c>
      <c r="H32" t="s">
        <v>38</v>
      </c>
      <c r="I32">
        <f>ROUND(17.28/100,9)</f>
        <v>0.17280000000000001</v>
      </c>
      <c r="J32">
        <v>0</v>
      </c>
      <c r="O32">
        <f>ROUND(CP32,2)</f>
        <v>6906.54</v>
      </c>
      <c r="P32">
        <f>ROUND(CQ32*I32,2)</f>
        <v>0</v>
      </c>
      <c r="Q32">
        <f>ROUND(CR32*I32,2)</f>
        <v>5217.9799999999996</v>
      </c>
      <c r="R32">
        <f>ROUND(CS32*I32,2)</f>
        <v>1995.11</v>
      </c>
      <c r="S32">
        <f>ROUND(CT32*I32,2)</f>
        <v>1688.56</v>
      </c>
      <c r="T32">
        <f>ROUND(CU32*I32,2)</f>
        <v>0</v>
      </c>
      <c r="U32">
        <f>CV32*I32</f>
        <v>7.9335936</v>
      </c>
      <c r="V32">
        <f>CW32*I32</f>
        <v>6.1337087999999991</v>
      </c>
      <c r="W32">
        <f>ROUND(CX32*I32,2)</f>
        <v>0</v>
      </c>
      <c r="X32">
        <f t="shared" si="24"/>
        <v>4457.24</v>
      </c>
      <c r="Y32">
        <f t="shared" si="24"/>
        <v>2799.59</v>
      </c>
      <c r="AA32">
        <v>35891596</v>
      </c>
      <c r="AB32">
        <f>ROUND((AC32+AD32+AF32),2)</f>
        <v>3594.14</v>
      </c>
      <c r="AC32">
        <f>ROUND((ES32),2)</f>
        <v>0</v>
      </c>
      <c r="AD32">
        <f>ROUND(((((ET32*1.2))-((EU32*1.2)))+AE32),2)</f>
        <v>3215.83</v>
      </c>
      <c r="AE32">
        <f>ROUND(((EU32*1.2)),2)</f>
        <v>446.99</v>
      </c>
      <c r="AF32">
        <f>ROUND(((EV32*1.2)),2)</f>
        <v>378.31</v>
      </c>
      <c r="AG32">
        <f>ROUND((AP32),2)</f>
        <v>0</v>
      </c>
      <c r="AH32">
        <f>((EW32*1.2))</f>
        <v>45.911999999999999</v>
      </c>
      <c r="AI32">
        <f>((EX32*1.2))</f>
        <v>35.495999999999995</v>
      </c>
      <c r="AJ32">
        <f>ROUND((AS32),2)</f>
        <v>0</v>
      </c>
      <c r="AK32">
        <v>2995.12</v>
      </c>
      <c r="AL32">
        <v>0</v>
      </c>
      <c r="AM32">
        <v>2679.86</v>
      </c>
      <c r="AN32">
        <v>372.49</v>
      </c>
      <c r="AO32">
        <v>315.26</v>
      </c>
      <c r="AP32">
        <v>0</v>
      </c>
      <c r="AQ32">
        <v>38.26</v>
      </c>
      <c r="AR32">
        <v>29.58</v>
      </c>
      <c r="AS32">
        <v>0</v>
      </c>
      <c r="AT32">
        <v>121</v>
      </c>
      <c r="AU32">
        <v>76</v>
      </c>
      <c r="AV32">
        <v>1</v>
      </c>
      <c r="AW32">
        <v>1</v>
      </c>
      <c r="AZ32">
        <v>1</v>
      </c>
      <c r="BA32">
        <v>25.83</v>
      </c>
      <c r="BB32">
        <v>9.39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59</v>
      </c>
      <c r="BM32">
        <v>27003</v>
      </c>
      <c r="BN32">
        <v>0</v>
      </c>
      <c r="BO32" t="s">
        <v>57</v>
      </c>
      <c r="BP32">
        <v>1</v>
      </c>
      <c r="BQ32">
        <v>2</v>
      </c>
      <c r="BR32">
        <v>0</v>
      </c>
      <c r="BS32">
        <v>25.83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142</v>
      </c>
      <c r="CA32">
        <v>95</v>
      </c>
      <c r="CF32">
        <v>0</v>
      </c>
      <c r="CG32">
        <v>0</v>
      </c>
      <c r="CM32">
        <v>0</v>
      </c>
      <c r="CN32" t="s">
        <v>472</v>
      </c>
      <c r="CO32">
        <v>0</v>
      </c>
      <c r="CP32">
        <f>(P32+Q32+S32)</f>
        <v>6906.5399999999991</v>
      </c>
      <c r="CQ32">
        <f>AC32*BC32</f>
        <v>0</v>
      </c>
      <c r="CR32">
        <f>AD32*BB32</f>
        <v>30196.643700000001</v>
      </c>
      <c r="CS32">
        <f>AE32*BS32</f>
        <v>11545.751699999999</v>
      </c>
      <c r="CT32">
        <f>AF32*BA32</f>
        <v>9771.7472999999991</v>
      </c>
      <c r="CU32">
        <f t="shared" si="25"/>
        <v>0</v>
      </c>
      <c r="CV32">
        <f t="shared" si="25"/>
        <v>45.911999999999999</v>
      </c>
      <c r="CW32">
        <f t="shared" si="25"/>
        <v>35.495999999999995</v>
      </c>
      <c r="CX32">
        <f t="shared" si="25"/>
        <v>0</v>
      </c>
      <c r="CY32">
        <f>(((S32+R32)*AT32)/100)</f>
        <v>4457.2407000000003</v>
      </c>
      <c r="CZ32">
        <f>(((S32+R32)*AU32)/100)</f>
        <v>2799.5891999999999</v>
      </c>
      <c r="DC32" t="s">
        <v>3</v>
      </c>
      <c r="DD32" t="s">
        <v>3</v>
      </c>
      <c r="DE32" t="s">
        <v>40</v>
      </c>
      <c r="DF32" t="s">
        <v>40</v>
      </c>
      <c r="DG32" t="s">
        <v>40</v>
      </c>
      <c r="DH32" t="s">
        <v>3</v>
      </c>
      <c r="DI32" t="s">
        <v>40</v>
      </c>
      <c r="DJ32" t="s">
        <v>40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1007</v>
      </c>
      <c r="DV32" t="s">
        <v>38</v>
      </c>
      <c r="DW32" t="s">
        <v>38</v>
      </c>
      <c r="DX32">
        <v>100</v>
      </c>
      <c r="EE32">
        <v>31265883</v>
      </c>
      <c r="EF32">
        <v>2</v>
      </c>
      <c r="EG32" t="s">
        <v>41</v>
      </c>
      <c r="EH32">
        <v>0</v>
      </c>
      <c r="EI32" t="s">
        <v>3</v>
      </c>
      <c r="EJ32">
        <v>1</v>
      </c>
      <c r="EK32">
        <v>27003</v>
      </c>
      <c r="EL32" t="s">
        <v>42</v>
      </c>
      <c r="EM32" t="s">
        <v>43</v>
      </c>
      <c r="EO32" t="s">
        <v>44</v>
      </c>
      <c r="EQ32">
        <v>512</v>
      </c>
      <c r="ER32">
        <v>2995.12</v>
      </c>
      <c r="ES32">
        <v>0</v>
      </c>
      <c r="ET32">
        <v>2679.86</v>
      </c>
      <c r="EU32">
        <v>372.49</v>
      </c>
      <c r="EV32">
        <v>315.26</v>
      </c>
      <c r="EW32">
        <v>38.26</v>
      </c>
      <c r="EX32">
        <v>29.58</v>
      </c>
      <c r="EY32">
        <v>0</v>
      </c>
      <c r="FQ32">
        <v>0</v>
      </c>
      <c r="FR32">
        <f t="shared" si="21"/>
        <v>0</v>
      </c>
      <c r="FS32">
        <v>0</v>
      </c>
      <c r="FV32" t="s">
        <v>45</v>
      </c>
      <c r="FW32" t="s">
        <v>46</v>
      </c>
      <c r="FX32">
        <v>142</v>
      </c>
      <c r="FY32">
        <v>95</v>
      </c>
      <c r="GA32" t="s">
        <v>3</v>
      </c>
      <c r="GD32">
        <v>0</v>
      </c>
      <c r="GF32">
        <v>1496064771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 t="shared" si="22"/>
        <v>0</v>
      </c>
      <c r="GM32">
        <f>ROUND(O32+X32+Y32+GK32,2)+GX32</f>
        <v>14163.37</v>
      </c>
      <c r="GN32">
        <f>IF(OR(BI32=0,BI32=1),ROUND(O32+X32+Y32+GK32,2),0)</f>
        <v>14163.37</v>
      </c>
      <c r="GO32">
        <f>IF(BI32=2,ROUND(O32+X32+Y32+GK32,2),0)</f>
        <v>0</v>
      </c>
      <c r="GP32">
        <f>IF(BI32=4,ROUND(O32+X32+Y32+GK32,2)+GX32,0)</f>
        <v>0</v>
      </c>
      <c r="GR32">
        <v>0</v>
      </c>
      <c r="GS32">
        <v>3</v>
      </c>
      <c r="GT32">
        <v>0</v>
      </c>
      <c r="GU32" t="s">
        <v>3</v>
      </c>
      <c r="GV32">
        <f>ROUND(GT32,2)</f>
        <v>0</v>
      </c>
      <c r="GW32">
        <v>1</v>
      </c>
      <c r="GX32">
        <f t="shared" si="23"/>
        <v>0</v>
      </c>
      <c r="HA32">
        <v>0</v>
      </c>
      <c r="HB32">
        <v>0</v>
      </c>
      <c r="IK32">
        <v>0</v>
      </c>
    </row>
    <row r="33" spans="1:245" x14ac:dyDescent="0.2">
      <c r="A33">
        <v>17</v>
      </c>
      <c r="B33">
        <v>1</v>
      </c>
      <c r="E33" t="s">
        <v>60</v>
      </c>
      <c r="F33" t="s">
        <v>61</v>
      </c>
      <c r="G33" t="s">
        <v>62</v>
      </c>
      <c r="H33" t="s">
        <v>23</v>
      </c>
      <c r="I33">
        <v>43.2</v>
      </c>
      <c r="J33">
        <v>0</v>
      </c>
      <c r="O33">
        <f>0</f>
        <v>0</v>
      </c>
      <c r="P33">
        <f>0</f>
        <v>0</v>
      </c>
      <c r="Q33">
        <f>0</f>
        <v>0</v>
      </c>
      <c r="R33">
        <f>0</f>
        <v>0</v>
      </c>
      <c r="S33">
        <f>0</f>
        <v>0</v>
      </c>
      <c r="T33">
        <f>0</f>
        <v>0</v>
      </c>
      <c r="U33">
        <f>0</f>
        <v>0</v>
      </c>
      <c r="V33">
        <f>0</f>
        <v>0</v>
      </c>
      <c r="W33">
        <f>0</f>
        <v>0</v>
      </c>
      <c r="X33">
        <f>0</f>
        <v>0</v>
      </c>
      <c r="Y33">
        <f>0</f>
        <v>0</v>
      </c>
      <c r="AA33">
        <v>35891596</v>
      </c>
      <c r="AB33">
        <f>ROUND((AK33),2)</f>
        <v>2.91</v>
      </c>
      <c r="AC33">
        <f>0</f>
        <v>0</v>
      </c>
      <c r="AD33">
        <f>0</f>
        <v>0</v>
      </c>
      <c r="AE33">
        <f>0</f>
        <v>0</v>
      </c>
      <c r="AF33">
        <f>0</f>
        <v>0</v>
      </c>
      <c r="AG33">
        <f>0</f>
        <v>0</v>
      </c>
      <c r="AH33">
        <f>0</f>
        <v>0</v>
      </c>
      <c r="AI33">
        <f>0</f>
        <v>0</v>
      </c>
      <c r="AJ33">
        <f>0</f>
        <v>0</v>
      </c>
      <c r="AK33">
        <v>2.91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7.72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1</v>
      </c>
      <c r="BJ33" t="s">
        <v>63</v>
      </c>
      <c r="BM33">
        <v>700005</v>
      </c>
      <c r="BN33">
        <v>0</v>
      </c>
      <c r="BO33" t="s">
        <v>61</v>
      </c>
      <c r="BP33">
        <v>1</v>
      </c>
      <c r="BQ33">
        <v>10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0</v>
      </c>
      <c r="CA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>AB33*AZ33</f>
        <v>22.465199999999999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1013</v>
      </c>
      <c r="DV33" t="s">
        <v>23</v>
      </c>
      <c r="DW33" t="s">
        <v>23</v>
      </c>
      <c r="DX33">
        <v>1</v>
      </c>
      <c r="EE33">
        <v>31266033</v>
      </c>
      <c r="EF33">
        <v>10</v>
      </c>
      <c r="EG33" t="s">
        <v>32</v>
      </c>
      <c r="EH33">
        <v>0</v>
      </c>
      <c r="EI33" t="s">
        <v>3</v>
      </c>
      <c r="EJ33">
        <v>1</v>
      </c>
      <c r="EK33">
        <v>700005</v>
      </c>
      <c r="EL33" t="s">
        <v>33</v>
      </c>
      <c r="EM33" t="s">
        <v>34</v>
      </c>
      <c r="EO33" t="s">
        <v>3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FQ33">
        <v>0</v>
      </c>
      <c r="FR33">
        <f t="shared" si="21"/>
        <v>0</v>
      </c>
      <c r="FS33">
        <v>0</v>
      </c>
      <c r="FX33">
        <v>0</v>
      </c>
      <c r="FY33">
        <v>0</v>
      </c>
      <c r="GA33" t="s">
        <v>3</v>
      </c>
      <c r="GD33">
        <v>0</v>
      </c>
      <c r="GF33">
        <v>1417995519</v>
      </c>
      <c r="GG33">
        <v>2</v>
      </c>
      <c r="GH33">
        <v>1</v>
      </c>
      <c r="GI33">
        <v>2</v>
      </c>
      <c r="GJ33">
        <v>2</v>
      </c>
      <c r="GK33">
        <f>ROUND(R33*(R12)/100,2)</f>
        <v>0</v>
      </c>
      <c r="GL33">
        <f t="shared" si="22"/>
        <v>0</v>
      </c>
      <c r="GM33">
        <f>ROUND(CP33*I33,2)</f>
        <v>970.5</v>
      </c>
      <c r="GN33">
        <f>IF(OR(BI33=0,BI33=1),ROUND(CP33*I33,2),0)</f>
        <v>970.5</v>
      </c>
      <c r="GO33">
        <f>IF(BI33=2,ROUND(CP33*I33,2),0)</f>
        <v>0</v>
      </c>
      <c r="GP33">
        <f>IF(BI33=4,ROUND(CP33*I33,2)+GX33,0)</f>
        <v>0</v>
      </c>
      <c r="GR33">
        <v>0</v>
      </c>
      <c r="GS33">
        <v>3</v>
      </c>
      <c r="GU33" t="s">
        <v>3</v>
      </c>
      <c r="GV33">
        <f>0</f>
        <v>0</v>
      </c>
      <c r="GW33">
        <v>1</v>
      </c>
      <c r="GX33">
        <f t="shared" si="23"/>
        <v>0</v>
      </c>
      <c r="GY33">
        <v>0</v>
      </c>
      <c r="GZ33">
        <v>0</v>
      </c>
      <c r="HA33">
        <v>0</v>
      </c>
      <c r="HB33">
        <v>0</v>
      </c>
      <c r="IK33">
        <v>0</v>
      </c>
    </row>
    <row r="34" spans="1:245" x14ac:dyDescent="0.2">
      <c r="A34">
        <v>17</v>
      </c>
      <c r="B34">
        <v>1</v>
      </c>
      <c r="C34">
        <f>ROW(SmtRes!A13)</f>
        <v>13</v>
      </c>
      <c r="D34">
        <f>ROW(EtalonRes!A14)</f>
        <v>14</v>
      </c>
      <c r="E34" t="s">
        <v>64</v>
      </c>
      <c r="F34" t="s">
        <v>65</v>
      </c>
      <c r="G34" t="s">
        <v>66</v>
      </c>
      <c r="H34" t="s">
        <v>38</v>
      </c>
      <c r="I34">
        <f>ROUND(16/100,9)</f>
        <v>0.16</v>
      </c>
      <c r="J34">
        <v>0</v>
      </c>
      <c r="O34">
        <f t="shared" ref="O34:O53" si="26">ROUND(CP34,2)</f>
        <v>5957.18</v>
      </c>
      <c r="P34">
        <f t="shared" ref="P34:P53" si="27">ROUND(CQ34*I34,2)</f>
        <v>0</v>
      </c>
      <c r="Q34">
        <f t="shared" ref="Q34:Q53" si="28">ROUND(CR34*I34,2)</f>
        <v>0</v>
      </c>
      <c r="R34">
        <f t="shared" ref="R34:R53" si="29">ROUND(CS34*I34,2)</f>
        <v>0</v>
      </c>
      <c r="S34">
        <f t="shared" ref="S34:S53" si="30">ROUND(CT34*I34,2)</f>
        <v>5957.18</v>
      </c>
      <c r="T34">
        <f t="shared" ref="T34:T53" si="31">ROUND(CU34*I34,2)</f>
        <v>0</v>
      </c>
      <c r="U34">
        <f t="shared" ref="U34:U53" si="32">CV34*I34</f>
        <v>29.567999999999998</v>
      </c>
      <c r="V34">
        <f t="shared" ref="V34:V53" si="33">CW34*I34</f>
        <v>0</v>
      </c>
      <c r="W34">
        <f t="shared" ref="W34:W53" si="34">ROUND(CX34*I34,2)</f>
        <v>0</v>
      </c>
      <c r="X34">
        <f t="shared" ref="X34:X53" si="35">ROUND(CY34,2)</f>
        <v>4050.88</v>
      </c>
      <c r="Y34">
        <f t="shared" ref="Y34:Y53" si="36">ROUND(CZ34,2)</f>
        <v>2144.58</v>
      </c>
      <c r="AA34">
        <v>35891596</v>
      </c>
      <c r="AB34">
        <f t="shared" ref="AB34:AB53" si="37">ROUND((AC34+AD34+AF34),2)</f>
        <v>1441.44</v>
      </c>
      <c r="AC34">
        <f t="shared" ref="AC34:AC53" si="38">ROUND((ES34),2)</f>
        <v>0</v>
      </c>
      <c r="AD34">
        <f>ROUND(((((ET34*1.2))-((EU34*1.2)))+AE34),2)</f>
        <v>0</v>
      </c>
      <c r="AE34">
        <f>ROUND(((EU34*1.2)),2)</f>
        <v>0</v>
      </c>
      <c r="AF34">
        <f>ROUND(((EV34*1.2)),2)</f>
        <v>1441.44</v>
      </c>
      <c r="AG34">
        <f t="shared" ref="AG34:AG53" si="39">ROUND((AP34),2)</f>
        <v>0</v>
      </c>
      <c r="AH34">
        <f>((EW34*1.2))</f>
        <v>184.79999999999998</v>
      </c>
      <c r="AI34">
        <f>((EX34*1.2))</f>
        <v>0</v>
      </c>
      <c r="AJ34">
        <f t="shared" ref="AJ34:AJ53" si="40">ROUND((AS34),2)</f>
        <v>0</v>
      </c>
      <c r="AK34">
        <v>1201.2</v>
      </c>
      <c r="AL34">
        <v>0</v>
      </c>
      <c r="AM34">
        <v>0</v>
      </c>
      <c r="AN34">
        <v>0</v>
      </c>
      <c r="AO34">
        <v>1201.2</v>
      </c>
      <c r="AP34">
        <v>0</v>
      </c>
      <c r="AQ34">
        <v>154</v>
      </c>
      <c r="AR34">
        <v>0</v>
      </c>
      <c r="AS34">
        <v>0</v>
      </c>
      <c r="AT34">
        <v>68</v>
      </c>
      <c r="AU34">
        <v>36</v>
      </c>
      <c r="AV34">
        <v>1</v>
      </c>
      <c r="AW34">
        <v>1</v>
      </c>
      <c r="AZ34">
        <v>1</v>
      </c>
      <c r="BA34">
        <v>25.83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1</v>
      </c>
      <c r="BJ34" t="s">
        <v>67</v>
      </c>
      <c r="BM34">
        <v>1003</v>
      </c>
      <c r="BN34">
        <v>0</v>
      </c>
      <c r="BO34" t="s">
        <v>65</v>
      </c>
      <c r="BP34">
        <v>1</v>
      </c>
      <c r="BQ34">
        <v>2</v>
      </c>
      <c r="BR34">
        <v>0</v>
      </c>
      <c r="BS34">
        <v>25.83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80</v>
      </c>
      <c r="CA34">
        <v>45</v>
      </c>
      <c r="CF34">
        <v>0</v>
      </c>
      <c r="CG34">
        <v>0</v>
      </c>
      <c r="CM34">
        <v>0</v>
      </c>
      <c r="CN34" t="s">
        <v>472</v>
      </c>
      <c r="CO34">
        <v>0</v>
      </c>
      <c r="CP34">
        <f t="shared" ref="CP34:CP53" si="41">(P34+Q34+S34)</f>
        <v>5957.18</v>
      </c>
      <c r="CQ34">
        <f t="shared" ref="CQ34:CQ53" si="42">AC34*BC34</f>
        <v>0</v>
      </c>
      <c r="CR34">
        <f t="shared" ref="CR34:CR53" si="43">AD34*BB34</f>
        <v>0</v>
      </c>
      <c r="CS34">
        <f t="shared" ref="CS34:CS53" si="44">AE34*BS34</f>
        <v>0</v>
      </c>
      <c r="CT34">
        <f t="shared" ref="CT34:CT53" si="45">AF34*BA34</f>
        <v>37232.395199999999</v>
      </c>
      <c r="CU34">
        <f t="shared" ref="CU34:CU53" si="46">AG34</f>
        <v>0</v>
      </c>
      <c r="CV34">
        <f t="shared" ref="CV34:CV53" si="47">AH34</f>
        <v>184.79999999999998</v>
      </c>
      <c r="CW34">
        <f t="shared" ref="CW34:CW53" si="48">AI34</f>
        <v>0</v>
      </c>
      <c r="CX34">
        <f t="shared" ref="CX34:CX53" si="49">AJ34</f>
        <v>0</v>
      </c>
      <c r="CY34">
        <f t="shared" ref="CY34:CY53" si="50">(((S34+R34)*AT34)/100)</f>
        <v>4050.8824</v>
      </c>
      <c r="CZ34">
        <f t="shared" ref="CZ34:CZ53" si="51">(((S34+R34)*AU34)/100)</f>
        <v>2144.5848000000001</v>
      </c>
      <c r="DC34" t="s">
        <v>3</v>
      </c>
      <c r="DD34" t="s">
        <v>3</v>
      </c>
      <c r="DE34" t="s">
        <v>40</v>
      </c>
      <c r="DF34" t="s">
        <v>40</v>
      </c>
      <c r="DG34" t="s">
        <v>40</v>
      </c>
      <c r="DH34" t="s">
        <v>3</v>
      </c>
      <c r="DI34" t="s">
        <v>40</v>
      </c>
      <c r="DJ34" t="s">
        <v>40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1007</v>
      </c>
      <c r="DV34" t="s">
        <v>38</v>
      </c>
      <c r="DW34" t="s">
        <v>38</v>
      </c>
      <c r="DX34">
        <v>100</v>
      </c>
      <c r="EE34">
        <v>31265815</v>
      </c>
      <c r="EF34">
        <v>2</v>
      </c>
      <c r="EG34" t="s">
        <v>41</v>
      </c>
      <c r="EH34">
        <v>0</v>
      </c>
      <c r="EI34" t="s">
        <v>3</v>
      </c>
      <c r="EJ34">
        <v>1</v>
      </c>
      <c r="EK34">
        <v>1003</v>
      </c>
      <c r="EL34" t="s">
        <v>68</v>
      </c>
      <c r="EM34" t="s">
        <v>69</v>
      </c>
      <c r="EO34" t="s">
        <v>44</v>
      </c>
      <c r="EQ34">
        <v>131584</v>
      </c>
      <c r="ER34">
        <v>1201.2</v>
      </c>
      <c r="ES34">
        <v>0</v>
      </c>
      <c r="ET34">
        <v>0</v>
      </c>
      <c r="EU34">
        <v>0</v>
      </c>
      <c r="EV34">
        <v>1201.2</v>
      </c>
      <c r="EW34">
        <v>154</v>
      </c>
      <c r="EX34">
        <v>0</v>
      </c>
      <c r="EY34">
        <v>0</v>
      </c>
      <c r="FQ34">
        <v>0</v>
      </c>
      <c r="FR34">
        <f t="shared" si="21"/>
        <v>0</v>
      </c>
      <c r="FS34">
        <v>0</v>
      </c>
      <c r="FV34" t="s">
        <v>45</v>
      </c>
      <c r="FW34" t="s">
        <v>46</v>
      </c>
      <c r="FX34">
        <v>80</v>
      </c>
      <c r="FY34">
        <v>45</v>
      </c>
      <c r="GA34" t="s">
        <v>3</v>
      </c>
      <c r="GD34">
        <v>0</v>
      </c>
      <c r="GF34">
        <v>-1694042267</v>
      </c>
      <c r="GG34">
        <v>2</v>
      </c>
      <c r="GH34">
        <v>1</v>
      </c>
      <c r="GI34">
        <v>2</v>
      </c>
      <c r="GJ34">
        <v>0</v>
      </c>
      <c r="GK34">
        <f>ROUND(R34*(R12)/100,2)</f>
        <v>0</v>
      </c>
      <c r="GL34">
        <f t="shared" si="22"/>
        <v>0</v>
      </c>
      <c r="GM34">
        <f t="shared" ref="GM34:GM53" si="52">ROUND(O34+X34+Y34+GK34,2)+GX34</f>
        <v>12152.64</v>
      </c>
      <c r="GN34">
        <f t="shared" ref="GN34:GN53" si="53">IF(OR(BI34=0,BI34=1),ROUND(O34+X34+Y34+GK34,2),0)</f>
        <v>12152.64</v>
      </c>
      <c r="GO34">
        <f t="shared" ref="GO34:GO53" si="54">IF(BI34=2,ROUND(O34+X34+Y34+GK34,2),0)</f>
        <v>0</v>
      </c>
      <c r="GP34">
        <f t="shared" ref="GP34:GP53" si="55">IF(BI34=4,ROUND(O34+X34+Y34+GK34,2)+GX34,0)</f>
        <v>0</v>
      </c>
      <c r="GR34">
        <v>0</v>
      </c>
      <c r="GS34">
        <v>3</v>
      </c>
      <c r="GT34">
        <v>0</v>
      </c>
      <c r="GU34" t="s">
        <v>3</v>
      </c>
      <c r="GV34">
        <f t="shared" ref="GV34:GV53" si="56">ROUND(GT34,2)</f>
        <v>0</v>
      </c>
      <c r="GW34">
        <v>1</v>
      </c>
      <c r="GX34">
        <f t="shared" si="23"/>
        <v>0</v>
      </c>
      <c r="HA34">
        <v>0</v>
      </c>
      <c r="HB34">
        <v>0</v>
      </c>
      <c r="IK34">
        <v>0</v>
      </c>
    </row>
    <row r="35" spans="1:245" x14ac:dyDescent="0.2">
      <c r="A35">
        <v>17</v>
      </c>
      <c r="B35">
        <v>1</v>
      </c>
      <c r="C35">
        <f>ROW(SmtRes!A18)</f>
        <v>18</v>
      </c>
      <c r="D35">
        <f>ROW(EtalonRes!A18)</f>
        <v>18</v>
      </c>
      <c r="E35" t="s">
        <v>70</v>
      </c>
      <c r="F35" t="s">
        <v>71</v>
      </c>
      <c r="G35" t="s">
        <v>72</v>
      </c>
      <c r="H35" t="s">
        <v>73</v>
      </c>
      <c r="I35">
        <f>ROUND(50/100,9)</f>
        <v>0.5</v>
      </c>
      <c r="J35">
        <v>0</v>
      </c>
      <c r="O35">
        <f t="shared" si="26"/>
        <v>2694.75</v>
      </c>
      <c r="P35">
        <f t="shared" si="27"/>
        <v>13.17</v>
      </c>
      <c r="Q35">
        <f t="shared" si="28"/>
        <v>1891.31</v>
      </c>
      <c r="R35">
        <f t="shared" si="29"/>
        <v>701.16</v>
      </c>
      <c r="S35">
        <f t="shared" si="30"/>
        <v>790.27</v>
      </c>
      <c r="T35">
        <f t="shared" si="31"/>
        <v>0</v>
      </c>
      <c r="U35">
        <f t="shared" si="32"/>
        <v>3.1799999999999997</v>
      </c>
      <c r="V35">
        <f t="shared" si="33"/>
        <v>2.34</v>
      </c>
      <c r="W35">
        <f t="shared" si="34"/>
        <v>0</v>
      </c>
      <c r="X35">
        <f t="shared" si="35"/>
        <v>1208.06</v>
      </c>
      <c r="Y35">
        <f t="shared" si="36"/>
        <v>775.54</v>
      </c>
      <c r="AA35">
        <v>35891596</v>
      </c>
      <c r="AB35">
        <f t="shared" si="37"/>
        <v>369.74</v>
      </c>
      <c r="AC35">
        <f t="shared" si="38"/>
        <v>1.02</v>
      </c>
      <c r="AD35">
        <f>ROUND(((((ET35*1.2))-((EU35*1.2)))+AE35),2)</f>
        <v>307.52999999999997</v>
      </c>
      <c r="AE35">
        <f>ROUND(((EU35*1.2)),2)</f>
        <v>54.29</v>
      </c>
      <c r="AF35">
        <f>ROUND(((EV35*1.2)),2)</f>
        <v>61.19</v>
      </c>
      <c r="AG35">
        <f t="shared" si="39"/>
        <v>0</v>
      </c>
      <c r="AH35">
        <f>((EW35*1.2))</f>
        <v>6.3599999999999994</v>
      </c>
      <c r="AI35">
        <f>((EX35*1.2))</f>
        <v>4.68</v>
      </c>
      <c r="AJ35">
        <f t="shared" si="40"/>
        <v>0</v>
      </c>
      <c r="AK35">
        <v>308.27999999999997</v>
      </c>
      <c r="AL35">
        <v>1.02</v>
      </c>
      <c r="AM35">
        <v>256.27</v>
      </c>
      <c r="AN35">
        <v>45.24</v>
      </c>
      <c r="AO35">
        <v>50.99</v>
      </c>
      <c r="AP35">
        <v>0</v>
      </c>
      <c r="AQ35">
        <v>5.3</v>
      </c>
      <c r="AR35">
        <v>3.9</v>
      </c>
      <c r="AS35">
        <v>0</v>
      </c>
      <c r="AT35">
        <v>81</v>
      </c>
      <c r="AU35">
        <v>52</v>
      </c>
      <c r="AV35">
        <v>1</v>
      </c>
      <c r="AW35">
        <v>1</v>
      </c>
      <c r="AZ35">
        <v>1</v>
      </c>
      <c r="BA35">
        <v>25.83</v>
      </c>
      <c r="BB35">
        <v>12.3</v>
      </c>
      <c r="BC35">
        <v>25.82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2</v>
      </c>
      <c r="BJ35" t="s">
        <v>74</v>
      </c>
      <c r="BM35">
        <v>108001</v>
      </c>
      <c r="BN35">
        <v>0</v>
      </c>
      <c r="BO35" t="s">
        <v>71</v>
      </c>
      <c r="BP35">
        <v>1</v>
      </c>
      <c r="BQ35">
        <v>3</v>
      </c>
      <c r="BR35">
        <v>0</v>
      </c>
      <c r="BS35">
        <v>25.83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95</v>
      </c>
      <c r="CA35">
        <v>65</v>
      </c>
      <c r="CF35">
        <v>0</v>
      </c>
      <c r="CG35">
        <v>0</v>
      </c>
      <c r="CM35">
        <v>0</v>
      </c>
      <c r="CN35" t="s">
        <v>472</v>
      </c>
      <c r="CO35">
        <v>0</v>
      </c>
      <c r="CP35">
        <f t="shared" si="41"/>
        <v>2694.75</v>
      </c>
      <c r="CQ35">
        <f t="shared" si="42"/>
        <v>26.336400000000001</v>
      </c>
      <c r="CR35">
        <f t="shared" si="43"/>
        <v>3782.6189999999997</v>
      </c>
      <c r="CS35">
        <f t="shared" si="44"/>
        <v>1402.3107</v>
      </c>
      <c r="CT35">
        <f t="shared" si="45"/>
        <v>1580.5376999999999</v>
      </c>
      <c r="CU35">
        <f t="shared" si="46"/>
        <v>0</v>
      </c>
      <c r="CV35">
        <f t="shared" si="47"/>
        <v>6.3599999999999994</v>
      </c>
      <c r="CW35">
        <f t="shared" si="48"/>
        <v>4.68</v>
      </c>
      <c r="CX35">
        <f t="shared" si="49"/>
        <v>0</v>
      </c>
      <c r="CY35">
        <f t="shared" si="50"/>
        <v>1208.0582999999999</v>
      </c>
      <c r="CZ35">
        <f t="shared" si="51"/>
        <v>775.54359999999986</v>
      </c>
      <c r="DC35" t="s">
        <v>3</v>
      </c>
      <c r="DD35" t="s">
        <v>3</v>
      </c>
      <c r="DE35" t="s">
        <v>40</v>
      </c>
      <c r="DF35" t="s">
        <v>40</v>
      </c>
      <c r="DG35" t="s">
        <v>40</v>
      </c>
      <c r="DH35" t="s">
        <v>3</v>
      </c>
      <c r="DI35" t="s">
        <v>40</v>
      </c>
      <c r="DJ35" t="s">
        <v>40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1003</v>
      </c>
      <c r="DV35" t="s">
        <v>73</v>
      </c>
      <c r="DW35" t="s">
        <v>73</v>
      </c>
      <c r="DX35">
        <v>100</v>
      </c>
      <c r="EE35">
        <v>31265967</v>
      </c>
      <c r="EF35">
        <v>3</v>
      </c>
      <c r="EG35" t="s">
        <v>75</v>
      </c>
      <c r="EH35">
        <v>0</v>
      </c>
      <c r="EI35" t="s">
        <v>3</v>
      </c>
      <c r="EJ35">
        <v>2</v>
      </c>
      <c r="EK35">
        <v>108001</v>
      </c>
      <c r="EL35" t="s">
        <v>76</v>
      </c>
      <c r="EM35" t="s">
        <v>77</v>
      </c>
      <c r="EO35" t="s">
        <v>44</v>
      </c>
      <c r="EQ35">
        <v>512</v>
      </c>
      <c r="ER35">
        <v>308.27999999999997</v>
      </c>
      <c r="ES35">
        <v>1.02</v>
      </c>
      <c r="ET35">
        <v>256.27</v>
      </c>
      <c r="EU35">
        <v>45.24</v>
      </c>
      <c r="EV35">
        <v>50.99</v>
      </c>
      <c r="EW35">
        <v>5.3</v>
      </c>
      <c r="EX35">
        <v>3.9</v>
      </c>
      <c r="EY35">
        <v>0</v>
      </c>
      <c r="FQ35">
        <v>0</v>
      </c>
      <c r="FR35">
        <f t="shared" si="21"/>
        <v>0</v>
      </c>
      <c r="FS35">
        <v>0</v>
      </c>
      <c r="FV35" t="s">
        <v>45</v>
      </c>
      <c r="FW35" t="s">
        <v>46</v>
      </c>
      <c r="FX35">
        <v>95</v>
      </c>
      <c r="FY35">
        <v>65</v>
      </c>
      <c r="GA35" t="s">
        <v>3</v>
      </c>
      <c r="GD35">
        <v>0</v>
      </c>
      <c r="GF35">
        <v>837540638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 t="shared" si="22"/>
        <v>0</v>
      </c>
      <c r="GM35">
        <f t="shared" si="52"/>
        <v>4678.3500000000004</v>
      </c>
      <c r="GN35">
        <f t="shared" si="53"/>
        <v>0</v>
      </c>
      <c r="GO35">
        <f t="shared" si="54"/>
        <v>4678.3500000000004</v>
      </c>
      <c r="GP35">
        <f t="shared" si="55"/>
        <v>0</v>
      </c>
      <c r="GR35">
        <v>0</v>
      </c>
      <c r="GS35">
        <v>3</v>
      </c>
      <c r="GT35">
        <v>0</v>
      </c>
      <c r="GU35" t="s">
        <v>3</v>
      </c>
      <c r="GV35">
        <f t="shared" si="56"/>
        <v>0</v>
      </c>
      <c r="GW35">
        <v>1</v>
      </c>
      <c r="GX35">
        <f t="shared" si="23"/>
        <v>0</v>
      </c>
      <c r="HA35">
        <v>0</v>
      </c>
      <c r="HB35">
        <v>0</v>
      </c>
      <c r="IK35">
        <v>0</v>
      </c>
    </row>
    <row r="36" spans="1:245" x14ac:dyDescent="0.2">
      <c r="A36">
        <v>18</v>
      </c>
      <c r="B36">
        <v>1</v>
      </c>
      <c r="C36">
        <v>17</v>
      </c>
      <c r="E36" t="s">
        <v>78</v>
      </c>
      <c r="F36" t="s">
        <v>79</v>
      </c>
      <c r="G36" t="s">
        <v>80</v>
      </c>
      <c r="H36" t="s">
        <v>50</v>
      </c>
      <c r="I36">
        <f>I35*J36</f>
        <v>2</v>
      </c>
      <c r="J36">
        <v>4</v>
      </c>
      <c r="O36">
        <f t="shared" si="26"/>
        <v>1138.3599999999999</v>
      </c>
      <c r="P36">
        <f t="shared" si="27"/>
        <v>1138.3599999999999</v>
      </c>
      <c r="Q36">
        <f t="shared" si="28"/>
        <v>0</v>
      </c>
      <c r="R36">
        <f t="shared" si="29"/>
        <v>0</v>
      </c>
      <c r="S36">
        <f t="shared" si="30"/>
        <v>0</v>
      </c>
      <c r="T36">
        <f t="shared" si="31"/>
        <v>0</v>
      </c>
      <c r="U36">
        <f t="shared" si="32"/>
        <v>0</v>
      </c>
      <c r="V36">
        <f t="shared" si="33"/>
        <v>0</v>
      </c>
      <c r="W36">
        <f t="shared" si="34"/>
        <v>0</v>
      </c>
      <c r="X36">
        <f t="shared" si="35"/>
        <v>0</v>
      </c>
      <c r="Y36">
        <f t="shared" si="36"/>
        <v>0</v>
      </c>
      <c r="AA36">
        <v>35891596</v>
      </c>
      <c r="AB36">
        <f t="shared" si="37"/>
        <v>55.26</v>
      </c>
      <c r="AC36">
        <f t="shared" si="38"/>
        <v>55.26</v>
      </c>
      <c r="AD36">
        <f>ROUND((((ET36)-(EU36))+AE36),2)</f>
        <v>0</v>
      </c>
      <c r="AE36">
        <f>ROUND((EU36),2)</f>
        <v>0</v>
      </c>
      <c r="AF36">
        <f>ROUND((EV36),2)</f>
        <v>0</v>
      </c>
      <c r="AG36">
        <f t="shared" si="39"/>
        <v>0</v>
      </c>
      <c r="AH36">
        <f>(EW36)</f>
        <v>0</v>
      </c>
      <c r="AI36">
        <f>(EX36)</f>
        <v>0</v>
      </c>
      <c r="AJ36">
        <f t="shared" si="40"/>
        <v>0</v>
      </c>
      <c r="AK36">
        <v>55.26</v>
      </c>
      <c r="AL36">
        <v>55.26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</v>
      </c>
      <c r="BC36">
        <v>10.3</v>
      </c>
      <c r="BD36" t="s">
        <v>3</v>
      </c>
      <c r="BE36" t="s">
        <v>3</v>
      </c>
      <c r="BF36" t="s">
        <v>3</v>
      </c>
      <c r="BG36" t="s">
        <v>3</v>
      </c>
      <c r="BH36">
        <v>3</v>
      </c>
      <c r="BI36">
        <v>1</v>
      </c>
      <c r="BJ36" t="s">
        <v>81</v>
      </c>
      <c r="BM36">
        <v>500001</v>
      </c>
      <c r="BN36">
        <v>0</v>
      </c>
      <c r="BO36" t="s">
        <v>79</v>
      </c>
      <c r="BP36">
        <v>1</v>
      </c>
      <c r="BQ36">
        <v>8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0</v>
      </c>
      <c r="CA36">
        <v>0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41"/>
        <v>1138.3599999999999</v>
      </c>
      <c r="CQ36">
        <f t="shared" si="42"/>
        <v>569.178</v>
      </c>
      <c r="CR36">
        <f t="shared" si="43"/>
        <v>0</v>
      </c>
      <c r="CS36">
        <f t="shared" si="44"/>
        <v>0</v>
      </c>
      <c r="CT36">
        <f t="shared" si="45"/>
        <v>0</v>
      </c>
      <c r="CU36">
        <f t="shared" si="46"/>
        <v>0</v>
      </c>
      <c r="CV36">
        <f t="shared" si="47"/>
        <v>0</v>
      </c>
      <c r="CW36">
        <f t="shared" si="48"/>
        <v>0</v>
      </c>
      <c r="CX36">
        <f t="shared" si="49"/>
        <v>0</v>
      </c>
      <c r="CY36">
        <f t="shared" si="50"/>
        <v>0</v>
      </c>
      <c r="CZ36">
        <f t="shared" si="51"/>
        <v>0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1007</v>
      </c>
      <c r="DV36" t="s">
        <v>50</v>
      </c>
      <c r="DW36" t="s">
        <v>50</v>
      </c>
      <c r="DX36">
        <v>1</v>
      </c>
      <c r="EE36">
        <v>31266022</v>
      </c>
      <c r="EF36">
        <v>8</v>
      </c>
      <c r="EG36" t="s">
        <v>53</v>
      </c>
      <c r="EH36">
        <v>0</v>
      </c>
      <c r="EI36" t="s">
        <v>3</v>
      </c>
      <c r="EJ36">
        <v>1</v>
      </c>
      <c r="EK36">
        <v>500001</v>
      </c>
      <c r="EL36" t="s">
        <v>54</v>
      </c>
      <c r="EM36" t="s">
        <v>55</v>
      </c>
      <c r="EO36" t="s">
        <v>3</v>
      </c>
      <c r="EQ36">
        <v>0</v>
      </c>
      <c r="ER36">
        <v>55.26</v>
      </c>
      <c r="ES36">
        <v>55.26</v>
      </c>
      <c r="ET36">
        <v>0</v>
      </c>
      <c r="EU36">
        <v>0</v>
      </c>
      <c r="EV36">
        <v>0</v>
      </c>
      <c r="EW36">
        <v>0</v>
      </c>
      <c r="EX36">
        <v>0</v>
      </c>
      <c r="FQ36">
        <v>0</v>
      </c>
      <c r="FR36">
        <f t="shared" si="21"/>
        <v>0</v>
      </c>
      <c r="FS36">
        <v>0</v>
      </c>
      <c r="FX36">
        <v>0</v>
      </c>
      <c r="FY36">
        <v>0</v>
      </c>
      <c r="GA36" t="s">
        <v>3</v>
      </c>
      <c r="GD36">
        <v>0</v>
      </c>
      <c r="GF36">
        <v>-35545874</v>
      </c>
      <c r="GG36">
        <v>2</v>
      </c>
      <c r="GH36">
        <v>1</v>
      </c>
      <c r="GI36">
        <v>2</v>
      </c>
      <c r="GJ36">
        <v>0</v>
      </c>
      <c r="GK36">
        <f>ROUND(R36*(R12)/100,2)</f>
        <v>0</v>
      </c>
      <c r="GL36">
        <f t="shared" si="22"/>
        <v>0</v>
      </c>
      <c r="GM36">
        <f t="shared" si="52"/>
        <v>1138.3599999999999</v>
      </c>
      <c r="GN36">
        <f t="shared" si="53"/>
        <v>1138.3599999999999</v>
      </c>
      <c r="GO36">
        <f t="shared" si="54"/>
        <v>0</v>
      </c>
      <c r="GP36">
        <f t="shared" si="55"/>
        <v>0</v>
      </c>
      <c r="GR36">
        <v>0</v>
      </c>
      <c r="GS36">
        <v>3</v>
      </c>
      <c r="GT36">
        <v>0</v>
      </c>
      <c r="GU36" t="s">
        <v>3</v>
      </c>
      <c r="GV36">
        <f t="shared" si="56"/>
        <v>0</v>
      </c>
      <c r="GW36">
        <v>1</v>
      </c>
      <c r="GX36">
        <f t="shared" si="23"/>
        <v>0</v>
      </c>
      <c r="HA36">
        <v>0</v>
      </c>
      <c r="HB36">
        <v>0</v>
      </c>
      <c r="IK36">
        <v>0</v>
      </c>
    </row>
    <row r="37" spans="1:245" x14ac:dyDescent="0.2">
      <c r="A37">
        <v>17</v>
      </c>
      <c r="B37">
        <v>1</v>
      </c>
      <c r="C37">
        <f>ROW(SmtRes!A31)</f>
        <v>31</v>
      </c>
      <c r="D37">
        <f>ROW(EtalonRes!A30)</f>
        <v>30</v>
      </c>
      <c r="E37" t="s">
        <v>16</v>
      </c>
      <c r="F37" t="s">
        <v>82</v>
      </c>
      <c r="G37" t="s">
        <v>83</v>
      </c>
      <c r="H37" t="s">
        <v>73</v>
      </c>
      <c r="I37">
        <f>ROUND(50/100,9)</f>
        <v>0.5</v>
      </c>
      <c r="J37">
        <v>0</v>
      </c>
      <c r="O37">
        <f t="shared" si="26"/>
        <v>4423.71</v>
      </c>
      <c r="P37">
        <f t="shared" si="27"/>
        <v>259.14999999999998</v>
      </c>
      <c r="Q37">
        <f t="shared" si="28"/>
        <v>1540.62</v>
      </c>
      <c r="R37">
        <f t="shared" si="29"/>
        <v>513.5</v>
      </c>
      <c r="S37">
        <f t="shared" si="30"/>
        <v>2623.94</v>
      </c>
      <c r="T37">
        <f t="shared" si="31"/>
        <v>0</v>
      </c>
      <c r="U37">
        <f t="shared" si="32"/>
        <v>10.56</v>
      </c>
      <c r="V37">
        <f t="shared" si="33"/>
        <v>1.5840000000000001</v>
      </c>
      <c r="W37">
        <f t="shared" si="34"/>
        <v>0</v>
      </c>
      <c r="X37">
        <f t="shared" si="35"/>
        <v>2541.33</v>
      </c>
      <c r="Y37">
        <f t="shared" si="36"/>
        <v>1631.47</v>
      </c>
      <c r="AA37">
        <v>35891596</v>
      </c>
      <c r="AB37">
        <f t="shared" si="37"/>
        <v>596.6</v>
      </c>
      <c r="AC37">
        <f t="shared" si="38"/>
        <v>74.790000000000006</v>
      </c>
      <c r="AD37">
        <f>ROUND(((((ET37*1.2))-((EU37*1.2)))+AE37),2)</f>
        <v>318.64</v>
      </c>
      <c r="AE37">
        <f>ROUND(((EU37*1.2)),2)</f>
        <v>39.76</v>
      </c>
      <c r="AF37">
        <f>ROUND(((EV37*1.2)),2)</f>
        <v>203.17</v>
      </c>
      <c r="AG37">
        <f t="shared" si="39"/>
        <v>0</v>
      </c>
      <c r="AH37">
        <f>((EW37*1.2))</f>
        <v>21.12</v>
      </c>
      <c r="AI37">
        <f>((EX37*1.2))</f>
        <v>3.1680000000000001</v>
      </c>
      <c r="AJ37">
        <f t="shared" si="40"/>
        <v>0</v>
      </c>
      <c r="AK37">
        <v>509.63</v>
      </c>
      <c r="AL37">
        <v>74.790000000000006</v>
      </c>
      <c r="AM37">
        <v>265.52999999999997</v>
      </c>
      <c r="AN37">
        <v>33.130000000000003</v>
      </c>
      <c r="AO37">
        <v>169.31</v>
      </c>
      <c r="AP37">
        <v>0</v>
      </c>
      <c r="AQ37">
        <v>17.600000000000001</v>
      </c>
      <c r="AR37">
        <v>2.64</v>
      </c>
      <c r="AS37">
        <v>0</v>
      </c>
      <c r="AT37">
        <v>81</v>
      </c>
      <c r="AU37">
        <v>52</v>
      </c>
      <c r="AV37">
        <v>1</v>
      </c>
      <c r="AW37">
        <v>1</v>
      </c>
      <c r="AZ37">
        <v>1</v>
      </c>
      <c r="BA37">
        <v>25.83</v>
      </c>
      <c r="BB37">
        <v>9.67</v>
      </c>
      <c r="BC37">
        <v>6.93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2</v>
      </c>
      <c r="BJ37" t="s">
        <v>84</v>
      </c>
      <c r="BM37">
        <v>108001</v>
      </c>
      <c r="BN37">
        <v>0</v>
      </c>
      <c r="BO37" t="s">
        <v>82</v>
      </c>
      <c r="BP37">
        <v>1</v>
      </c>
      <c r="BQ37">
        <v>3</v>
      </c>
      <c r="BR37">
        <v>0</v>
      </c>
      <c r="BS37">
        <v>25.83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95</v>
      </c>
      <c r="CA37">
        <v>65</v>
      </c>
      <c r="CF37">
        <v>0</v>
      </c>
      <c r="CG37">
        <v>0</v>
      </c>
      <c r="CM37">
        <v>0</v>
      </c>
      <c r="CN37" t="s">
        <v>472</v>
      </c>
      <c r="CO37">
        <v>0</v>
      </c>
      <c r="CP37">
        <f t="shared" si="41"/>
        <v>4423.71</v>
      </c>
      <c r="CQ37">
        <f t="shared" si="42"/>
        <v>518.29470000000003</v>
      </c>
      <c r="CR37">
        <f t="shared" si="43"/>
        <v>3081.2487999999998</v>
      </c>
      <c r="CS37">
        <f t="shared" si="44"/>
        <v>1027.0007999999998</v>
      </c>
      <c r="CT37">
        <f t="shared" si="45"/>
        <v>5247.8810999999996</v>
      </c>
      <c r="CU37">
        <f t="shared" si="46"/>
        <v>0</v>
      </c>
      <c r="CV37">
        <f t="shared" si="47"/>
        <v>21.12</v>
      </c>
      <c r="CW37">
        <f t="shared" si="48"/>
        <v>3.1680000000000001</v>
      </c>
      <c r="CX37">
        <f t="shared" si="49"/>
        <v>0</v>
      </c>
      <c r="CY37">
        <f t="shared" si="50"/>
        <v>2541.3263999999999</v>
      </c>
      <c r="CZ37">
        <f t="shared" si="51"/>
        <v>1631.4688000000001</v>
      </c>
      <c r="DC37" t="s">
        <v>3</v>
      </c>
      <c r="DD37" t="s">
        <v>3</v>
      </c>
      <c r="DE37" t="s">
        <v>40</v>
      </c>
      <c r="DF37" t="s">
        <v>40</v>
      </c>
      <c r="DG37" t="s">
        <v>40</v>
      </c>
      <c r="DH37" t="s">
        <v>3</v>
      </c>
      <c r="DI37" t="s">
        <v>40</v>
      </c>
      <c r="DJ37" t="s">
        <v>40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1003</v>
      </c>
      <c r="DV37" t="s">
        <v>73</v>
      </c>
      <c r="DW37" t="s">
        <v>73</v>
      </c>
      <c r="DX37">
        <v>100</v>
      </c>
      <c r="EE37">
        <v>31265967</v>
      </c>
      <c r="EF37">
        <v>3</v>
      </c>
      <c r="EG37" t="s">
        <v>75</v>
      </c>
      <c r="EH37">
        <v>0</v>
      </c>
      <c r="EI37" t="s">
        <v>3</v>
      </c>
      <c r="EJ37">
        <v>2</v>
      </c>
      <c r="EK37">
        <v>108001</v>
      </c>
      <c r="EL37" t="s">
        <v>76</v>
      </c>
      <c r="EM37" t="s">
        <v>77</v>
      </c>
      <c r="EO37" t="s">
        <v>44</v>
      </c>
      <c r="EQ37">
        <v>512</v>
      </c>
      <c r="ER37">
        <v>509.63</v>
      </c>
      <c r="ES37">
        <v>74.790000000000006</v>
      </c>
      <c r="ET37">
        <v>265.52999999999997</v>
      </c>
      <c r="EU37">
        <v>33.130000000000003</v>
      </c>
      <c r="EV37">
        <v>169.31</v>
      </c>
      <c r="EW37">
        <v>17.600000000000001</v>
      </c>
      <c r="EX37">
        <v>2.64</v>
      </c>
      <c r="EY37">
        <v>0</v>
      </c>
      <c r="FQ37">
        <v>0</v>
      </c>
      <c r="FR37">
        <f t="shared" si="21"/>
        <v>0</v>
      </c>
      <c r="FS37">
        <v>0</v>
      </c>
      <c r="FV37" t="s">
        <v>45</v>
      </c>
      <c r="FW37" t="s">
        <v>46</v>
      </c>
      <c r="FX37">
        <v>95</v>
      </c>
      <c r="FY37">
        <v>65</v>
      </c>
      <c r="GA37" t="s">
        <v>3</v>
      </c>
      <c r="GD37">
        <v>0</v>
      </c>
      <c r="GF37">
        <v>486716072</v>
      </c>
      <c r="GG37">
        <v>2</v>
      </c>
      <c r="GH37">
        <v>1</v>
      </c>
      <c r="GI37">
        <v>2</v>
      </c>
      <c r="GJ37">
        <v>0</v>
      </c>
      <c r="GK37">
        <f>ROUND(R37*(R12)/100,2)</f>
        <v>0</v>
      </c>
      <c r="GL37">
        <f t="shared" si="22"/>
        <v>0</v>
      </c>
      <c r="GM37">
        <f t="shared" si="52"/>
        <v>8596.51</v>
      </c>
      <c r="GN37">
        <f t="shared" si="53"/>
        <v>0</v>
      </c>
      <c r="GO37">
        <f t="shared" si="54"/>
        <v>8596.51</v>
      </c>
      <c r="GP37">
        <f t="shared" si="55"/>
        <v>0</v>
      </c>
      <c r="GR37">
        <v>0</v>
      </c>
      <c r="GS37">
        <v>3</v>
      </c>
      <c r="GT37">
        <v>0</v>
      </c>
      <c r="GU37" t="s">
        <v>3</v>
      </c>
      <c r="GV37">
        <f t="shared" si="56"/>
        <v>0</v>
      </c>
      <c r="GW37">
        <v>1</v>
      </c>
      <c r="GX37">
        <f t="shared" si="23"/>
        <v>0</v>
      </c>
      <c r="HA37">
        <v>0</v>
      </c>
      <c r="HB37">
        <v>0</v>
      </c>
      <c r="IK37">
        <v>0</v>
      </c>
    </row>
    <row r="38" spans="1:245" x14ac:dyDescent="0.2">
      <c r="A38">
        <v>18</v>
      </c>
      <c r="B38">
        <v>1</v>
      </c>
      <c r="C38">
        <v>31</v>
      </c>
      <c r="E38" t="s">
        <v>85</v>
      </c>
      <c r="F38" t="s">
        <v>86</v>
      </c>
      <c r="G38" t="s">
        <v>87</v>
      </c>
      <c r="H38" t="s">
        <v>88</v>
      </c>
      <c r="I38">
        <f>I37*J38</f>
        <v>51</v>
      </c>
      <c r="J38">
        <v>102</v>
      </c>
      <c r="O38">
        <f t="shared" si="26"/>
        <v>69247.8</v>
      </c>
      <c r="P38">
        <f t="shared" si="27"/>
        <v>69247.8</v>
      </c>
      <c r="Q38">
        <f t="shared" si="28"/>
        <v>0</v>
      </c>
      <c r="R38">
        <f t="shared" si="29"/>
        <v>0</v>
      </c>
      <c r="S38">
        <f t="shared" si="30"/>
        <v>0</v>
      </c>
      <c r="T38">
        <f t="shared" si="31"/>
        <v>0</v>
      </c>
      <c r="U38">
        <f t="shared" si="32"/>
        <v>0</v>
      </c>
      <c r="V38">
        <f t="shared" si="33"/>
        <v>0</v>
      </c>
      <c r="W38">
        <f t="shared" si="34"/>
        <v>0</v>
      </c>
      <c r="X38">
        <f t="shared" si="35"/>
        <v>0</v>
      </c>
      <c r="Y38">
        <f t="shared" si="36"/>
        <v>0</v>
      </c>
      <c r="AA38">
        <v>35891596</v>
      </c>
      <c r="AB38">
        <f t="shared" si="37"/>
        <v>186</v>
      </c>
      <c r="AC38">
        <f t="shared" si="38"/>
        <v>186</v>
      </c>
      <c r="AD38">
        <f>ROUND((((ET38)-(EU38))+AE38),2)</f>
        <v>0</v>
      </c>
      <c r="AE38">
        <f>ROUND((EU38),2)</f>
        <v>0</v>
      </c>
      <c r="AF38">
        <f>ROUND((EV38),2)</f>
        <v>0</v>
      </c>
      <c r="AG38">
        <f t="shared" si="39"/>
        <v>0</v>
      </c>
      <c r="AH38">
        <f>(EW38)</f>
        <v>0</v>
      </c>
      <c r="AI38">
        <f>(EX38)</f>
        <v>0</v>
      </c>
      <c r="AJ38">
        <f t="shared" si="40"/>
        <v>0</v>
      </c>
      <c r="AK38">
        <v>186</v>
      </c>
      <c r="AL38">
        <v>186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81</v>
      </c>
      <c r="AU38">
        <v>52</v>
      </c>
      <c r="AV38">
        <v>1</v>
      </c>
      <c r="AW38">
        <v>1</v>
      </c>
      <c r="AZ38">
        <v>1</v>
      </c>
      <c r="BA38">
        <v>1</v>
      </c>
      <c r="BB38">
        <v>1</v>
      </c>
      <c r="BC38">
        <v>7.3</v>
      </c>
      <c r="BD38" t="s">
        <v>3</v>
      </c>
      <c r="BE38" t="s">
        <v>3</v>
      </c>
      <c r="BF38" t="s">
        <v>3</v>
      </c>
      <c r="BG38" t="s">
        <v>3</v>
      </c>
      <c r="BH38">
        <v>3</v>
      </c>
      <c r="BI38">
        <v>2</v>
      </c>
      <c r="BJ38" t="s">
        <v>3</v>
      </c>
      <c r="BM38">
        <v>108001</v>
      </c>
      <c r="BN38">
        <v>0</v>
      </c>
      <c r="BO38" t="s">
        <v>3</v>
      </c>
      <c r="BP38">
        <v>0</v>
      </c>
      <c r="BQ38">
        <v>3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95</v>
      </c>
      <c r="CA38">
        <v>65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41"/>
        <v>69247.8</v>
      </c>
      <c r="CQ38">
        <f t="shared" si="42"/>
        <v>1357.8</v>
      </c>
      <c r="CR38">
        <f t="shared" si="43"/>
        <v>0</v>
      </c>
      <c r="CS38">
        <f t="shared" si="44"/>
        <v>0</v>
      </c>
      <c r="CT38">
        <f t="shared" si="45"/>
        <v>0</v>
      </c>
      <c r="CU38">
        <f t="shared" si="46"/>
        <v>0</v>
      </c>
      <c r="CV38">
        <f t="shared" si="47"/>
        <v>0</v>
      </c>
      <c r="CW38">
        <f t="shared" si="48"/>
        <v>0</v>
      </c>
      <c r="CX38">
        <f t="shared" si="49"/>
        <v>0</v>
      </c>
      <c r="CY38">
        <f t="shared" si="50"/>
        <v>0</v>
      </c>
      <c r="CZ38">
        <f t="shared" si="51"/>
        <v>0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1003</v>
      </c>
      <c r="DV38" t="s">
        <v>88</v>
      </c>
      <c r="DW38" t="s">
        <v>88</v>
      </c>
      <c r="DX38">
        <v>1</v>
      </c>
      <c r="EE38">
        <v>31265967</v>
      </c>
      <c r="EF38">
        <v>3</v>
      </c>
      <c r="EG38" t="s">
        <v>75</v>
      </c>
      <c r="EH38">
        <v>0</v>
      </c>
      <c r="EI38" t="s">
        <v>3</v>
      </c>
      <c r="EJ38">
        <v>2</v>
      </c>
      <c r="EK38">
        <v>108001</v>
      </c>
      <c r="EL38" t="s">
        <v>76</v>
      </c>
      <c r="EM38" t="s">
        <v>77</v>
      </c>
      <c r="EO38" t="s">
        <v>3</v>
      </c>
      <c r="EQ38">
        <v>512</v>
      </c>
      <c r="ER38">
        <v>186</v>
      </c>
      <c r="ES38">
        <v>186</v>
      </c>
      <c r="ET38">
        <v>0</v>
      </c>
      <c r="EU38">
        <v>0</v>
      </c>
      <c r="EV38">
        <v>0</v>
      </c>
      <c r="EW38">
        <v>0</v>
      </c>
      <c r="EX38">
        <v>0</v>
      </c>
      <c r="EZ38">
        <v>5</v>
      </c>
      <c r="FC38">
        <v>0</v>
      </c>
      <c r="FD38">
        <v>18</v>
      </c>
      <c r="FF38">
        <v>1292.3699999999999</v>
      </c>
      <c r="FQ38">
        <v>0</v>
      </c>
      <c r="FR38">
        <f t="shared" si="21"/>
        <v>0</v>
      </c>
      <c r="FS38">
        <v>0</v>
      </c>
      <c r="FV38" t="s">
        <v>45</v>
      </c>
      <c r="FW38" t="s">
        <v>46</v>
      </c>
      <c r="FX38">
        <v>95</v>
      </c>
      <c r="FY38">
        <v>65</v>
      </c>
      <c r="GA38" t="s">
        <v>89</v>
      </c>
      <c r="GD38">
        <v>0</v>
      </c>
      <c r="GF38">
        <v>-368135169</v>
      </c>
      <c r="GG38">
        <v>2</v>
      </c>
      <c r="GH38">
        <v>3</v>
      </c>
      <c r="GI38">
        <v>3</v>
      </c>
      <c r="GJ38">
        <v>0</v>
      </c>
      <c r="GK38">
        <f>ROUND(R38*(R12)/100,2)</f>
        <v>0</v>
      </c>
      <c r="GL38">
        <f t="shared" si="22"/>
        <v>0</v>
      </c>
      <c r="GM38">
        <f t="shared" si="52"/>
        <v>69247.8</v>
      </c>
      <c r="GN38">
        <f t="shared" si="53"/>
        <v>0</v>
      </c>
      <c r="GO38">
        <f t="shared" si="54"/>
        <v>69247.8</v>
      </c>
      <c r="GP38">
        <f t="shared" si="55"/>
        <v>0</v>
      </c>
      <c r="GR38">
        <v>1</v>
      </c>
      <c r="GS38">
        <v>1</v>
      </c>
      <c r="GT38">
        <v>0</v>
      </c>
      <c r="GU38" t="s">
        <v>3</v>
      </c>
      <c r="GV38">
        <f t="shared" si="56"/>
        <v>0</v>
      </c>
      <c r="GW38">
        <v>1</v>
      </c>
      <c r="GX38">
        <f t="shared" si="23"/>
        <v>0</v>
      </c>
      <c r="HA38">
        <v>0</v>
      </c>
      <c r="HB38">
        <v>0</v>
      </c>
      <c r="IK38">
        <v>0</v>
      </c>
    </row>
    <row r="39" spans="1:245" x14ac:dyDescent="0.2">
      <c r="A39">
        <v>17</v>
      </c>
      <c r="B39">
        <v>1</v>
      </c>
      <c r="C39">
        <f>ROW(SmtRes!A37)</f>
        <v>37</v>
      </c>
      <c r="D39">
        <f>ROW(EtalonRes!A35)</f>
        <v>35</v>
      </c>
      <c r="E39" t="s">
        <v>90</v>
      </c>
      <c r="F39" t="s">
        <v>91</v>
      </c>
      <c r="G39" t="s">
        <v>92</v>
      </c>
      <c r="H39" t="s">
        <v>73</v>
      </c>
      <c r="I39">
        <f>ROUND(50/100,9)</f>
        <v>0.5</v>
      </c>
      <c r="J39">
        <v>0</v>
      </c>
      <c r="O39">
        <f t="shared" si="26"/>
        <v>2827.05</v>
      </c>
      <c r="P39">
        <f t="shared" si="27"/>
        <v>14.27</v>
      </c>
      <c r="Q39">
        <f t="shared" si="28"/>
        <v>1957.03</v>
      </c>
      <c r="R39">
        <f t="shared" si="29"/>
        <v>746.87</v>
      </c>
      <c r="S39">
        <f t="shared" si="30"/>
        <v>855.75</v>
      </c>
      <c r="T39">
        <f t="shared" si="31"/>
        <v>0</v>
      </c>
      <c r="U39">
        <f t="shared" si="32"/>
        <v>3.444</v>
      </c>
      <c r="V39">
        <f t="shared" si="33"/>
        <v>2.3039999999999998</v>
      </c>
      <c r="W39">
        <f t="shared" si="34"/>
        <v>0</v>
      </c>
      <c r="X39">
        <f t="shared" si="35"/>
        <v>1298.1199999999999</v>
      </c>
      <c r="Y39">
        <f t="shared" si="36"/>
        <v>833.36</v>
      </c>
      <c r="AA39">
        <v>35891596</v>
      </c>
      <c r="AB39">
        <f t="shared" si="37"/>
        <v>476.78</v>
      </c>
      <c r="AC39">
        <f t="shared" si="38"/>
        <v>1.1000000000000001</v>
      </c>
      <c r="AD39">
        <f>ROUND(((((ET39*1.2))-((EU39*1.2)))+AE39),2)</f>
        <v>409.42</v>
      </c>
      <c r="AE39">
        <f>ROUND(((EU39*1.2)),2)</f>
        <v>57.83</v>
      </c>
      <c r="AF39">
        <f>ROUND(((EV39*1.2)),2)</f>
        <v>66.260000000000005</v>
      </c>
      <c r="AG39">
        <f t="shared" si="39"/>
        <v>0</v>
      </c>
      <c r="AH39">
        <f>((EW39*1.2))</f>
        <v>6.8879999999999999</v>
      </c>
      <c r="AI39">
        <f>((EX39*1.2))</f>
        <v>4.6079999999999997</v>
      </c>
      <c r="AJ39">
        <f t="shared" si="40"/>
        <v>0</v>
      </c>
      <c r="AK39">
        <v>397.5</v>
      </c>
      <c r="AL39">
        <v>1.1000000000000001</v>
      </c>
      <c r="AM39">
        <v>341.18</v>
      </c>
      <c r="AN39">
        <v>48.19</v>
      </c>
      <c r="AO39">
        <v>55.22</v>
      </c>
      <c r="AP39">
        <v>0</v>
      </c>
      <c r="AQ39">
        <v>5.74</v>
      </c>
      <c r="AR39">
        <v>3.84</v>
      </c>
      <c r="AS39">
        <v>0</v>
      </c>
      <c r="AT39">
        <v>81</v>
      </c>
      <c r="AU39">
        <v>52</v>
      </c>
      <c r="AV39">
        <v>1</v>
      </c>
      <c r="AW39">
        <v>1</v>
      </c>
      <c r="AZ39">
        <v>1</v>
      </c>
      <c r="BA39">
        <v>25.83</v>
      </c>
      <c r="BB39">
        <v>9.56</v>
      </c>
      <c r="BC39">
        <v>25.94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2</v>
      </c>
      <c r="BJ39" t="s">
        <v>93</v>
      </c>
      <c r="BM39">
        <v>108001</v>
      </c>
      <c r="BN39">
        <v>0</v>
      </c>
      <c r="BO39" t="s">
        <v>91</v>
      </c>
      <c r="BP39">
        <v>1</v>
      </c>
      <c r="BQ39">
        <v>3</v>
      </c>
      <c r="BR39">
        <v>0</v>
      </c>
      <c r="BS39">
        <v>25.83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95</v>
      </c>
      <c r="CA39">
        <v>65</v>
      </c>
      <c r="CF39">
        <v>0</v>
      </c>
      <c r="CG39">
        <v>0</v>
      </c>
      <c r="CM39">
        <v>0</v>
      </c>
      <c r="CN39" t="s">
        <v>472</v>
      </c>
      <c r="CO39">
        <v>0</v>
      </c>
      <c r="CP39">
        <f t="shared" si="41"/>
        <v>2827.05</v>
      </c>
      <c r="CQ39">
        <f t="shared" si="42"/>
        <v>28.534000000000002</v>
      </c>
      <c r="CR39">
        <f t="shared" si="43"/>
        <v>3914.0552000000002</v>
      </c>
      <c r="CS39">
        <f t="shared" si="44"/>
        <v>1493.7488999999998</v>
      </c>
      <c r="CT39">
        <f t="shared" si="45"/>
        <v>1711.4957999999999</v>
      </c>
      <c r="CU39">
        <f t="shared" si="46"/>
        <v>0</v>
      </c>
      <c r="CV39">
        <f t="shared" si="47"/>
        <v>6.8879999999999999</v>
      </c>
      <c r="CW39">
        <f t="shared" si="48"/>
        <v>4.6079999999999997</v>
      </c>
      <c r="CX39">
        <f t="shared" si="49"/>
        <v>0</v>
      </c>
      <c r="CY39">
        <f t="shared" si="50"/>
        <v>1298.1221999999998</v>
      </c>
      <c r="CZ39">
        <f t="shared" si="51"/>
        <v>833.36239999999987</v>
      </c>
      <c r="DC39" t="s">
        <v>3</v>
      </c>
      <c r="DD39" t="s">
        <v>3</v>
      </c>
      <c r="DE39" t="s">
        <v>40</v>
      </c>
      <c r="DF39" t="s">
        <v>40</v>
      </c>
      <c r="DG39" t="s">
        <v>40</v>
      </c>
      <c r="DH39" t="s">
        <v>3</v>
      </c>
      <c r="DI39" t="s">
        <v>40</v>
      </c>
      <c r="DJ39" t="s">
        <v>40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1003</v>
      </c>
      <c r="DV39" t="s">
        <v>73</v>
      </c>
      <c r="DW39" t="s">
        <v>73</v>
      </c>
      <c r="DX39">
        <v>100</v>
      </c>
      <c r="EE39">
        <v>31265967</v>
      </c>
      <c r="EF39">
        <v>3</v>
      </c>
      <c r="EG39" t="s">
        <v>75</v>
      </c>
      <c r="EH39">
        <v>0</v>
      </c>
      <c r="EI39" t="s">
        <v>3</v>
      </c>
      <c r="EJ39">
        <v>2</v>
      </c>
      <c r="EK39">
        <v>108001</v>
      </c>
      <c r="EL39" t="s">
        <v>76</v>
      </c>
      <c r="EM39" t="s">
        <v>77</v>
      </c>
      <c r="EO39" t="s">
        <v>44</v>
      </c>
      <c r="EQ39">
        <v>512</v>
      </c>
      <c r="ER39">
        <v>397.5</v>
      </c>
      <c r="ES39">
        <v>1.1000000000000001</v>
      </c>
      <c r="ET39">
        <v>341.18</v>
      </c>
      <c r="EU39">
        <v>48.19</v>
      </c>
      <c r="EV39">
        <v>55.22</v>
      </c>
      <c r="EW39">
        <v>5.74</v>
      </c>
      <c r="EX39">
        <v>3.84</v>
      </c>
      <c r="EY39">
        <v>0</v>
      </c>
      <c r="FQ39">
        <v>0</v>
      </c>
      <c r="FR39">
        <f t="shared" si="21"/>
        <v>0</v>
      </c>
      <c r="FS39">
        <v>0</v>
      </c>
      <c r="FV39" t="s">
        <v>45</v>
      </c>
      <c r="FW39" t="s">
        <v>46</v>
      </c>
      <c r="FX39">
        <v>95</v>
      </c>
      <c r="FY39">
        <v>65</v>
      </c>
      <c r="GA39" t="s">
        <v>3</v>
      </c>
      <c r="GD39">
        <v>0</v>
      </c>
      <c r="GF39">
        <v>-408138158</v>
      </c>
      <c r="GG39">
        <v>2</v>
      </c>
      <c r="GH39">
        <v>1</v>
      </c>
      <c r="GI39">
        <v>2</v>
      </c>
      <c r="GJ39">
        <v>0</v>
      </c>
      <c r="GK39">
        <f>ROUND(R39*(R12)/100,2)</f>
        <v>0</v>
      </c>
      <c r="GL39">
        <f t="shared" si="22"/>
        <v>0</v>
      </c>
      <c r="GM39">
        <f t="shared" si="52"/>
        <v>4958.53</v>
      </c>
      <c r="GN39">
        <f t="shared" si="53"/>
        <v>0</v>
      </c>
      <c r="GO39">
        <f t="shared" si="54"/>
        <v>4958.53</v>
      </c>
      <c r="GP39">
        <f t="shared" si="55"/>
        <v>0</v>
      </c>
      <c r="GR39">
        <v>0</v>
      </c>
      <c r="GS39">
        <v>3</v>
      </c>
      <c r="GT39">
        <v>0</v>
      </c>
      <c r="GU39" t="s">
        <v>3</v>
      </c>
      <c r="GV39">
        <f t="shared" si="56"/>
        <v>0</v>
      </c>
      <c r="GW39">
        <v>1</v>
      </c>
      <c r="GX39">
        <f t="shared" si="23"/>
        <v>0</v>
      </c>
      <c r="HA39">
        <v>0</v>
      </c>
      <c r="HB39">
        <v>0</v>
      </c>
      <c r="IK39">
        <v>0</v>
      </c>
    </row>
    <row r="40" spans="1:245" x14ac:dyDescent="0.2">
      <c r="A40">
        <v>18</v>
      </c>
      <c r="B40">
        <v>1</v>
      </c>
      <c r="C40">
        <v>37</v>
      </c>
      <c r="E40" t="s">
        <v>94</v>
      </c>
      <c r="F40" t="s">
        <v>95</v>
      </c>
      <c r="G40" t="s">
        <v>96</v>
      </c>
      <c r="H40" t="s">
        <v>97</v>
      </c>
      <c r="I40">
        <f>I39*J40</f>
        <v>139</v>
      </c>
      <c r="J40">
        <v>278</v>
      </c>
      <c r="O40">
        <f t="shared" si="26"/>
        <v>10147</v>
      </c>
      <c r="P40">
        <f t="shared" si="27"/>
        <v>10147</v>
      </c>
      <c r="Q40">
        <f t="shared" si="28"/>
        <v>0</v>
      </c>
      <c r="R40">
        <f t="shared" si="29"/>
        <v>0</v>
      </c>
      <c r="S40">
        <f t="shared" si="30"/>
        <v>0</v>
      </c>
      <c r="T40">
        <f t="shared" si="31"/>
        <v>0</v>
      </c>
      <c r="U40">
        <f t="shared" si="32"/>
        <v>0</v>
      </c>
      <c r="V40">
        <f t="shared" si="33"/>
        <v>0</v>
      </c>
      <c r="W40">
        <f t="shared" si="34"/>
        <v>0</v>
      </c>
      <c r="X40">
        <f t="shared" si="35"/>
        <v>0</v>
      </c>
      <c r="Y40">
        <f t="shared" si="36"/>
        <v>0</v>
      </c>
      <c r="AA40">
        <v>35891596</v>
      </c>
      <c r="AB40">
        <f t="shared" si="37"/>
        <v>10</v>
      </c>
      <c r="AC40">
        <f t="shared" si="38"/>
        <v>10</v>
      </c>
      <c r="AD40">
        <f>ROUND((((ET40)-(EU40))+AE40),2)</f>
        <v>0</v>
      </c>
      <c r="AE40">
        <f>ROUND((EU40),2)</f>
        <v>0</v>
      </c>
      <c r="AF40">
        <f>ROUND((EV40),2)</f>
        <v>0</v>
      </c>
      <c r="AG40">
        <f t="shared" si="39"/>
        <v>0</v>
      </c>
      <c r="AH40">
        <f>(EW40)</f>
        <v>0</v>
      </c>
      <c r="AI40">
        <f>(EX40)</f>
        <v>0</v>
      </c>
      <c r="AJ40">
        <f t="shared" si="40"/>
        <v>0</v>
      </c>
      <c r="AK40">
        <v>9.9999999999999982</v>
      </c>
      <c r="AL40">
        <v>9.9999999999999982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81</v>
      </c>
      <c r="AU40">
        <v>52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7.3</v>
      </c>
      <c r="BD40" t="s">
        <v>3</v>
      </c>
      <c r="BE40" t="s">
        <v>3</v>
      </c>
      <c r="BF40" t="s">
        <v>3</v>
      </c>
      <c r="BG40" t="s">
        <v>3</v>
      </c>
      <c r="BH40">
        <v>3</v>
      </c>
      <c r="BI40">
        <v>2</v>
      </c>
      <c r="BJ40" t="s">
        <v>3</v>
      </c>
      <c r="BM40">
        <v>108001</v>
      </c>
      <c r="BN40">
        <v>0</v>
      </c>
      <c r="BO40" t="s">
        <v>3</v>
      </c>
      <c r="BP40">
        <v>0</v>
      </c>
      <c r="BQ40">
        <v>3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95</v>
      </c>
      <c r="CA40">
        <v>65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41"/>
        <v>10147</v>
      </c>
      <c r="CQ40">
        <f t="shared" si="42"/>
        <v>73</v>
      </c>
      <c r="CR40">
        <f t="shared" si="43"/>
        <v>0</v>
      </c>
      <c r="CS40">
        <f t="shared" si="44"/>
        <v>0</v>
      </c>
      <c r="CT40">
        <f t="shared" si="45"/>
        <v>0</v>
      </c>
      <c r="CU40">
        <f t="shared" si="46"/>
        <v>0</v>
      </c>
      <c r="CV40">
        <f t="shared" si="47"/>
        <v>0</v>
      </c>
      <c r="CW40">
        <f t="shared" si="48"/>
        <v>0</v>
      </c>
      <c r="CX40">
        <f t="shared" si="49"/>
        <v>0</v>
      </c>
      <c r="CY40">
        <f t="shared" si="50"/>
        <v>0</v>
      </c>
      <c r="CZ40">
        <f t="shared" si="51"/>
        <v>0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1010</v>
      </c>
      <c r="DV40" t="s">
        <v>97</v>
      </c>
      <c r="DW40" t="s">
        <v>97</v>
      </c>
      <c r="DX40">
        <v>1</v>
      </c>
      <c r="EE40">
        <v>31265967</v>
      </c>
      <c r="EF40">
        <v>3</v>
      </c>
      <c r="EG40" t="s">
        <v>75</v>
      </c>
      <c r="EH40">
        <v>0</v>
      </c>
      <c r="EI40" t="s">
        <v>3</v>
      </c>
      <c r="EJ40">
        <v>2</v>
      </c>
      <c r="EK40">
        <v>108001</v>
      </c>
      <c r="EL40" t="s">
        <v>76</v>
      </c>
      <c r="EM40" t="s">
        <v>77</v>
      </c>
      <c r="EO40" t="s">
        <v>3</v>
      </c>
      <c r="EQ40">
        <v>512</v>
      </c>
      <c r="ER40">
        <v>9.9999999999999982</v>
      </c>
      <c r="ES40">
        <v>9.9999999999999982</v>
      </c>
      <c r="ET40">
        <v>0</v>
      </c>
      <c r="EU40">
        <v>0</v>
      </c>
      <c r="EV40">
        <v>0</v>
      </c>
      <c r="EW40">
        <v>0</v>
      </c>
      <c r="EX40">
        <v>0</v>
      </c>
      <c r="EZ40">
        <v>5</v>
      </c>
      <c r="FC40">
        <v>0</v>
      </c>
      <c r="FD40">
        <v>18</v>
      </c>
      <c r="FF40">
        <v>69.41</v>
      </c>
      <c r="FQ40">
        <v>0</v>
      </c>
      <c r="FR40">
        <f t="shared" si="21"/>
        <v>0</v>
      </c>
      <c r="FS40">
        <v>0</v>
      </c>
      <c r="FV40" t="s">
        <v>45</v>
      </c>
      <c r="FW40" t="s">
        <v>46</v>
      </c>
      <c r="FX40">
        <v>95</v>
      </c>
      <c r="FY40">
        <v>65</v>
      </c>
      <c r="GA40" t="s">
        <v>98</v>
      </c>
      <c r="GD40">
        <v>0</v>
      </c>
      <c r="GF40">
        <v>1932939218</v>
      </c>
      <c r="GG40">
        <v>2</v>
      </c>
      <c r="GH40">
        <v>3</v>
      </c>
      <c r="GI40">
        <v>3</v>
      </c>
      <c r="GJ40">
        <v>0</v>
      </c>
      <c r="GK40">
        <f>ROUND(R40*(R12)/100,2)</f>
        <v>0</v>
      </c>
      <c r="GL40">
        <f t="shared" si="22"/>
        <v>0</v>
      </c>
      <c r="GM40">
        <f t="shared" si="52"/>
        <v>10147</v>
      </c>
      <c r="GN40">
        <f t="shared" si="53"/>
        <v>0</v>
      </c>
      <c r="GO40">
        <f t="shared" si="54"/>
        <v>10147</v>
      </c>
      <c r="GP40">
        <f t="shared" si="55"/>
        <v>0</v>
      </c>
      <c r="GR40">
        <v>1</v>
      </c>
      <c r="GS40">
        <v>1</v>
      </c>
      <c r="GT40">
        <v>0</v>
      </c>
      <c r="GU40" t="s">
        <v>3</v>
      </c>
      <c r="GV40">
        <f t="shared" si="56"/>
        <v>0</v>
      </c>
      <c r="GW40">
        <v>1</v>
      </c>
      <c r="GX40">
        <f t="shared" si="23"/>
        <v>0</v>
      </c>
      <c r="HA40">
        <v>0</v>
      </c>
      <c r="HB40">
        <v>0</v>
      </c>
      <c r="IK40">
        <v>0</v>
      </c>
    </row>
    <row r="41" spans="1:245" x14ac:dyDescent="0.2">
      <c r="A41">
        <v>17</v>
      </c>
      <c r="B41">
        <v>1</v>
      </c>
      <c r="C41">
        <f>ROW(SmtRes!A39)</f>
        <v>39</v>
      </c>
      <c r="D41">
        <f>ROW(EtalonRes!A36)</f>
        <v>36</v>
      </c>
      <c r="E41" t="s">
        <v>99</v>
      </c>
      <c r="F41" t="s">
        <v>100</v>
      </c>
      <c r="G41" t="s">
        <v>101</v>
      </c>
      <c r="H41" t="s">
        <v>38</v>
      </c>
      <c r="I41">
        <f>ROUND(2/100,9)</f>
        <v>0.02</v>
      </c>
      <c r="J41">
        <v>0</v>
      </c>
      <c r="O41">
        <f t="shared" si="26"/>
        <v>451.92</v>
      </c>
      <c r="P41">
        <f t="shared" si="27"/>
        <v>0</v>
      </c>
      <c r="Q41">
        <f t="shared" si="28"/>
        <v>0</v>
      </c>
      <c r="R41">
        <f t="shared" si="29"/>
        <v>0</v>
      </c>
      <c r="S41">
        <f t="shared" si="30"/>
        <v>451.92</v>
      </c>
      <c r="T41">
        <f t="shared" si="31"/>
        <v>0</v>
      </c>
      <c r="U41">
        <f t="shared" si="32"/>
        <v>2.3328000000000002</v>
      </c>
      <c r="V41">
        <f t="shared" si="33"/>
        <v>0</v>
      </c>
      <c r="W41">
        <f t="shared" si="34"/>
        <v>0</v>
      </c>
      <c r="X41">
        <f t="shared" si="35"/>
        <v>307.31</v>
      </c>
      <c r="Y41">
        <f t="shared" si="36"/>
        <v>162.69</v>
      </c>
      <c r="AA41">
        <v>35891596</v>
      </c>
      <c r="AB41">
        <f t="shared" si="37"/>
        <v>874.8</v>
      </c>
      <c r="AC41">
        <f t="shared" si="38"/>
        <v>0</v>
      </c>
      <c r="AD41">
        <f>ROUND(((((ET41*1.2))-((EU41*1.2)))+AE41),2)</f>
        <v>0</v>
      </c>
      <c r="AE41">
        <f>ROUND(((EU41*1.2)),2)</f>
        <v>0</v>
      </c>
      <c r="AF41">
        <f>ROUND(((EV41*1.2)),2)</f>
        <v>874.8</v>
      </c>
      <c r="AG41">
        <f t="shared" si="39"/>
        <v>0</v>
      </c>
      <c r="AH41">
        <f>((EW41*1.2))</f>
        <v>116.64</v>
      </c>
      <c r="AI41">
        <f>((EX41*1.2))</f>
        <v>0</v>
      </c>
      <c r="AJ41">
        <f t="shared" si="40"/>
        <v>0</v>
      </c>
      <c r="AK41">
        <v>729</v>
      </c>
      <c r="AL41">
        <v>0</v>
      </c>
      <c r="AM41">
        <v>0</v>
      </c>
      <c r="AN41">
        <v>0</v>
      </c>
      <c r="AO41">
        <v>729</v>
      </c>
      <c r="AP41">
        <v>0</v>
      </c>
      <c r="AQ41">
        <v>97.2</v>
      </c>
      <c r="AR41">
        <v>0</v>
      </c>
      <c r="AS41">
        <v>0</v>
      </c>
      <c r="AT41">
        <v>68</v>
      </c>
      <c r="AU41">
        <v>36</v>
      </c>
      <c r="AV41">
        <v>1</v>
      </c>
      <c r="AW41">
        <v>1</v>
      </c>
      <c r="AZ41">
        <v>1</v>
      </c>
      <c r="BA41">
        <v>25.83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1</v>
      </c>
      <c r="BJ41" t="s">
        <v>102</v>
      </c>
      <c r="BM41">
        <v>1003</v>
      </c>
      <c r="BN41">
        <v>0</v>
      </c>
      <c r="BO41" t="s">
        <v>100</v>
      </c>
      <c r="BP41">
        <v>1</v>
      </c>
      <c r="BQ41">
        <v>2</v>
      </c>
      <c r="BR41">
        <v>0</v>
      </c>
      <c r="BS41">
        <v>25.83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80</v>
      </c>
      <c r="CA41">
        <v>45</v>
      </c>
      <c r="CF41">
        <v>0</v>
      </c>
      <c r="CG41">
        <v>0</v>
      </c>
      <c r="CM41">
        <v>0</v>
      </c>
      <c r="CN41" t="s">
        <v>472</v>
      </c>
      <c r="CO41">
        <v>0</v>
      </c>
      <c r="CP41">
        <f t="shared" si="41"/>
        <v>451.92</v>
      </c>
      <c r="CQ41">
        <f t="shared" si="42"/>
        <v>0</v>
      </c>
      <c r="CR41">
        <f t="shared" si="43"/>
        <v>0</v>
      </c>
      <c r="CS41">
        <f t="shared" si="44"/>
        <v>0</v>
      </c>
      <c r="CT41">
        <f t="shared" si="45"/>
        <v>22596.083999999999</v>
      </c>
      <c r="CU41">
        <f t="shared" si="46"/>
        <v>0</v>
      </c>
      <c r="CV41">
        <f t="shared" si="47"/>
        <v>116.64</v>
      </c>
      <c r="CW41">
        <f t="shared" si="48"/>
        <v>0</v>
      </c>
      <c r="CX41">
        <f t="shared" si="49"/>
        <v>0</v>
      </c>
      <c r="CY41">
        <f t="shared" si="50"/>
        <v>307.30560000000003</v>
      </c>
      <c r="CZ41">
        <f t="shared" si="51"/>
        <v>162.69120000000001</v>
      </c>
      <c r="DC41" t="s">
        <v>3</v>
      </c>
      <c r="DD41" t="s">
        <v>3</v>
      </c>
      <c r="DE41" t="s">
        <v>40</v>
      </c>
      <c r="DF41" t="s">
        <v>40</v>
      </c>
      <c r="DG41" t="s">
        <v>40</v>
      </c>
      <c r="DH41" t="s">
        <v>3</v>
      </c>
      <c r="DI41" t="s">
        <v>40</v>
      </c>
      <c r="DJ41" t="s">
        <v>40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1007</v>
      </c>
      <c r="DV41" t="s">
        <v>38</v>
      </c>
      <c r="DW41" t="s">
        <v>38</v>
      </c>
      <c r="DX41">
        <v>100</v>
      </c>
      <c r="EE41">
        <v>31265815</v>
      </c>
      <c r="EF41">
        <v>2</v>
      </c>
      <c r="EG41" t="s">
        <v>41</v>
      </c>
      <c r="EH41">
        <v>0</v>
      </c>
      <c r="EI41" t="s">
        <v>3</v>
      </c>
      <c r="EJ41">
        <v>1</v>
      </c>
      <c r="EK41">
        <v>1003</v>
      </c>
      <c r="EL41" t="s">
        <v>68</v>
      </c>
      <c r="EM41" t="s">
        <v>69</v>
      </c>
      <c r="EO41" t="s">
        <v>44</v>
      </c>
      <c r="EQ41">
        <v>512</v>
      </c>
      <c r="ER41">
        <v>729</v>
      </c>
      <c r="ES41">
        <v>0</v>
      </c>
      <c r="ET41">
        <v>0</v>
      </c>
      <c r="EU41">
        <v>0</v>
      </c>
      <c r="EV41">
        <v>729</v>
      </c>
      <c r="EW41">
        <v>97.2</v>
      </c>
      <c r="EX41">
        <v>0</v>
      </c>
      <c r="EY41">
        <v>0</v>
      </c>
      <c r="FQ41">
        <v>0</v>
      </c>
      <c r="FR41">
        <f t="shared" si="21"/>
        <v>0</v>
      </c>
      <c r="FS41">
        <v>0</v>
      </c>
      <c r="FV41" t="s">
        <v>45</v>
      </c>
      <c r="FW41" t="s">
        <v>46</v>
      </c>
      <c r="FX41">
        <v>80</v>
      </c>
      <c r="FY41">
        <v>45</v>
      </c>
      <c r="GA41" t="s">
        <v>3</v>
      </c>
      <c r="GD41">
        <v>0</v>
      </c>
      <c r="GF41">
        <v>-286385310</v>
      </c>
      <c r="GG41">
        <v>2</v>
      </c>
      <c r="GH41">
        <v>1</v>
      </c>
      <c r="GI41">
        <v>2</v>
      </c>
      <c r="GJ41">
        <v>0</v>
      </c>
      <c r="GK41">
        <f>ROUND(R41*(R12)/100,2)</f>
        <v>0</v>
      </c>
      <c r="GL41">
        <f t="shared" si="22"/>
        <v>0</v>
      </c>
      <c r="GM41">
        <f t="shared" si="52"/>
        <v>921.92</v>
      </c>
      <c r="GN41">
        <f t="shared" si="53"/>
        <v>921.92</v>
      </c>
      <c r="GO41">
        <f t="shared" si="54"/>
        <v>0</v>
      </c>
      <c r="GP41">
        <f t="shared" si="55"/>
        <v>0</v>
      </c>
      <c r="GR41">
        <v>0</v>
      </c>
      <c r="GS41">
        <v>3</v>
      </c>
      <c r="GT41">
        <v>0</v>
      </c>
      <c r="GU41" t="s">
        <v>3</v>
      </c>
      <c r="GV41">
        <f t="shared" si="56"/>
        <v>0</v>
      </c>
      <c r="GW41">
        <v>1</v>
      </c>
      <c r="GX41">
        <f t="shared" si="23"/>
        <v>0</v>
      </c>
      <c r="HA41">
        <v>0</v>
      </c>
      <c r="HB41">
        <v>0</v>
      </c>
      <c r="IK41">
        <v>0</v>
      </c>
    </row>
    <row r="42" spans="1:245" x14ac:dyDescent="0.2">
      <c r="A42">
        <v>18</v>
      </c>
      <c r="B42">
        <v>1</v>
      </c>
      <c r="C42">
        <v>39</v>
      </c>
      <c r="E42" t="s">
        <v>103</v>
      </c>
      <c r="F42" t="s">
        <v>79</v>
      </c>
      <c r="G42" t="s">
        <v>80</v>
      </c>
      <c r="H42" t="s">
        <v>50</v>
      </c>
      <c r="I42">
        <f>I41*J42</f>
        <v>2</v>
      </c>
      <c r="J42">
        <v>100</v>
      </c>
      <c r="O42">
        <f t="shared" si="26"/>
        <v>1138.3599999999999</v>
      </c>
      <c r="P42">
        <f t="shared" si="27"/>
        <v>1138.3599999999999</v>
      </c>
      <c r="Q42">
        <f t="shared" si="28"/>
        <v>0</v>
      </c>
      <c r="R42">
        <f t="shared" si="29"/>
        <v>0</v>
      </c>
      <c r="S42">
        <f t="shared" si="30"/>
        <v>0</v>
      </c>
      <c r="T42">
        <f t="shared" si="31"/>
        <v>0</v>
      </c>
      <c r="U42">
        <f t="shared" si="32"/>
        <v>0</v>
      </c>
      <c r="V42">
        <f t="shared" si="33"/>
        <v>0</v>
      </c>
      <c r="W42">
        <f t="shared" si="34"/>
        <v>0</v>
      </c>
      <c r="X42">
        <f t="shared" si="35"/>
        <v>0</v>
      </c>
      <c r="Y42">
        <f t="shared" si="36"/>
        <v>0</v>
      </c>
      <c r="AA42">
        <v>35891596</v>
      </c>
      <c r="AB42">
        <f t="shared" si="37"/>
        <v>55.26</v>
      </c>
      <c r="AC42">
        <f t="shared" si="38"/>
        <v>55.26</v>
      </c>
      <c r="AD42">
        <f>ROUND((((ET42)-(EU42))+AE42),2)</f>
        <v>0</v>
      </c>
      <c r="AE42">
        <f>ROUND((EU42),2)</f>
        <v>0</v>
      </c>
      <c r="AF42">
        <f>ROUND((EV42),2)</f>
        <v>0</v>
      </c>
      <c r="AG42">
        <f t="shared" si="39"/>
        <v>0</v>
      </c>
      <c r="AH42">
        <f>(EW42)</f>
        <v>0</v>
      </c>
      <c r="AI42">
        <f>(EX42)</f>
        <v>0</v>
      </c>
      <c r="AJ42">
        <f t="shared" si="40"/>
        <v>0</v>
      </c>
      <c r="AK42">
        <v>55.26</v>
      </c>
      <c r="AL42">
        <v>55.26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10.3</v>
      </c>
      <c r="BD42" t="s">
        <v>3</v>
      </c>
      <c r="BE42" t="s">
        <v>3</v>
      </c>
      <c r="BF42" t="s">
        <v>3</v>
      </c>
      <c r="BG42" t="s">
        <v>3</v>
      </c>
      <c r="BH42">
        <v>3</v>
      </c>
      <c r="BI42">
        <v>1</v>
      </c>
      <c r="BJ42" t="s">
        <v>81</v>
      </c>
      <c r="BM42">
        <v>500001</v>
      </c>
      <c r="BN42">
        <v>0</v>
      </c>
      <c r="BO42" t="s">
        <v>79</v>
      </c>
      <c r="BP42">
        <v>1</v>
      </c>
      <c r="BQ42">
        <v>8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0</v>
      </c>
      <c r="CA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1"/>
        <v>1138.3599999999999</v>
      </c>
      <c r="CQ42">
        <f t="shared" si="42"/>
        <v>569.178</v>
      </c>
      <c r="CR42">
        <f t="shared" si="43"/>
        <v>0</v>
      </c>
      <c r="CS42">
        <f t="shared" si="44"/>
        <v>0</v>
      </c>
      <c r="CT42">
        <f t="shared" si="45"/>
        <v>0</v>
      </c>
      <c r="CU42">
        <f t="shared" si="46"/>
        <v>0</v>
      </c>
      <c r="CV42">
        <f t="shared" si="47"/>
        <v>0</v>
      </c>
      <c r="CW42">
        <f t="shared" si="48"/>
        <v>0</v>
      </c>
      <c r="CX42">
        <f t="shared" si="49"/>
        <v>0</v>
      </c>
      <c r="CY42">
        <f t="shared" si="50"/>
        <v>0</v>
      </c>
      <c r="CZ42">
        <f t="shared" si="51"/>
        <v>0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1007</v>
      </c>
      <c r="DV42" t="s">
        <v>50</v>
      </c>
      <c r="DW42" t="s">
        <v>50</v>
      </c>
      <c r="DX42">
        <v>1</v>
      </c>
      <c r="EE42">
        <v>31266022</v>
      </c>
      <c r="EF42">
        <v>8</v>
      </c>
      <c r="EG42" t="s">
        <v>53</v>
      </c>
      <c r="EH42">
        <v>0</v>
      </c>
      <c r="EI42" t="s">
        <v>3</v>
      </c>
      <c r="EJ42">
        <v>1</v>
      </c>
      <c r="EK42">
        <v>500001</v>
      </c>
      <c r="EL42" t="s">
        <v>54</v>
      </c>
      <c r="EM42" t="s">
        <v>55</v>
      </c>
      <c r="EO42" t="s">
        <v>3</v>
      </c>
      <c r="EQ42">
        <v>0</v>
      </c>
      <c r="ER42">
        <v>55.26</v>
      </c>
      <c r="ES42">
        <v>55.26</v>
      </c>
      <c r="ET42">
        <v>0</v>
      </c>
      <c r="EU42">
        <v>0</v>
      </c>
      <c r="EV42">
        <v>0</v>
      </c>
      <c r="EW42">
        <v>0</v>
      </c>
      <c r="EX42">
        <v>0</v>
      </c>
      <c r="FQ42">
        <v>0</v>
      </c>
      <c r="FR42">
        <f t="shared" si="21"/>
        <v>0</v>
      </c>
      <c r="FS42">
        <v>0</v>
      </c>
      <c r="FX42">
        <v>0</v>
      </c>
      <c r="FY42">
        <v>0</v>
      </c>
      <c r="GA42" t="s">
        <v>3</v>
      </c>
      <c r="GD42">
        <v>0</v>
      </c>
      <c r="GF42">
        <v>-35545874</v>
      </c>
      <c r="GG42">
        <v>2</v>
      </c>
      <c r="GH42">
        <v>1</v>
      </c>
      <c r="GI42">
        <v>2</v>
      </c>
      <c r="GJ42">
        <v>0</v>
      </c>
      <c r="GK42">
        <f>ROUND(R42*(R12)/100,2)</f>
        <v>0</v>
      </c>
      <c r="GL42">
        <f t="shared" si="22"/>
        <v>0</v>
      </c>
      <c r="GM42">
        <f t="shared" si="52"/>
        <v>1138.3599999999999</v>
      </c>
      <c r="GN42">
        <f t="shared" si="53"/>
        <v>1138.3599999999999</v>
      </c>
      <c r="GO42">
        <f t="shared" si="54"/>
        <v>0</v>
      </c>
      <c r="GP42">
        <f t="shared" si="55"/>
        <v>0</v>
      </c>
      <c r="GR42">
        <v>0</v>
      </c>
      <c r="GS42">
        <v>3</v>
      </c>
      <c r="GT42">
        <v>0</v>
      </c>
      <c r="GU42" t="s">
        <v>3</v>
      </c>
      <c r="GV42">
        <f t="shared" si="56"/>
        <v>0</v>
      </c>
      <c r="GW42">
        <v>1</v>
      </c>
      <c r="GX42">
        <f t="shared" si="23"/>
        <v>0</v>
      </c>
      <c r="HA42">
        <v>0</v>
      </c>
      <c r="HB42">
        <v>0</v>
      </c>
      <c r="IK42">
        <v>0</v>
      </c>
    </row>
    <row r="43" spans="1:245" x14ac:dyDescent="0.2">
      <c r="A43">
        <v>17</v>
      </c>
      <c r="B43">
        <v>1</v>
      </c>
      <c r="C43">
        <f>ROW(SmtRes!A51)</f>
        <v>51</v>
      </c>
      <c r="D43">
        <f>ROW(EtalonRes!A47)</f>
        <v>47</v>
      </c>
      <c r="E43" t="s">
        <v>104</v>
      </c>
      <c r="F43" t="s">
        <v>105</v>
      </c>
      <c r="G43" t="s">
        <v>106</v>
      </c>
      <c r="H43" t="s">
        <v>73</v>
      </c>
      <c r="I43">
        <f>ROUND(50/100,9)</f>
        <v>0.5</v>
      </c>
      <c r="J43">
        <v>0</v>
      </c>
      <c r="O43">
        <f t="shared" si="26"/>
        <v>5202.2299999999996</v>
      </c>
      <c r="P43">
        <f t="shared" si="27"/>
        <v>210.82</v>
      </c>
      <c r="Q43">
        <f t="shared" si="28"/>
        <v>542.58000000000004</v>
      </c>
      <c r="R43">
        <f t="shared" si="29"/>
        <v>77.75</v>
      </c>
      <c r="S43">
        <f t="shared" si="30"/>
        <v>4448.83</v>
      </c>
      <c r="T43">
        <f t="shared" si="31"/>
        <v>0</v>
      </c>
      <c r="U43">
        <f t="shared" si="32"/>
        <v>17.904</v>
      </c>
      <c r="V43">
        <f t="shared" si="33"/>
        <v>0.24</v>
      </c>
      <c r="W43">
        <f t="shared" si="34"/>
        <v>0</v>
      </c>
      <c r="X43">
        <f t="shared" si="35"/>
        <v>3666.53</v>
      </c>
      <c r="Y43">
        <f t="shared" si="36"/>
        <v>2353.8200000000002</v>
      </c>
      <c r="AA43">
        <v>35891596</v>
      </c>
      <c r="AB43">
        <f t="shared" si="37"/>
        <v>490.74</v>
      </c>
      <c r="AC43">
        <f t="shared" si="38"/>
        <v>39.04</v>
      </c>
      <c r="AD43">
        <f>ROUND(((((ET43*1.2))-((EU43*1.2)))+AE43),2)</f>
        <v>107.23</v>
      </c>
      <c r="AE43">
        <f>ROUND(((EU43*1.2)),2)</f>
        <v>6.02</v>
      </c>
      <c r="AF43">
        <f>ROUND(((EV43*1.2)),2)</f>
        <v>344.47</v>
      </c>
      <c r="AG43">
        <f t="shared" si="39"/>
        <v>0</v>
      </c>
      <c r="AH43">
        <f>((EW43*1.2))</f>
        <v>35.808</v>
      </c>
      <c r="AI43">
        <f>((EX43*1.2))</f>
        <v>0.48</v>
      </c>
      <c r="AJ43">
        <f t="shared" si="40"/>
        <v>0</v>
      </c>
      <c r="AK43">
        <v>415.46</v>
      </c>
      <c r="AL43">
        <v>39.04</v>
      </c>
      <c r="AM43">
        <v>89.36</v>
      </c>
      <c r="AN43">
        <v>5.0199999999999996</v>
      </c>
      <c r="AO43">
        <v>287.06</v>
      </c>
      <c r="AP43">
        <v>0</v>
      </c>
      <c r="AQ43">
        <v>29.84</v>
      </c>
      <c r="AR43">
        <v>0.4</v>
      </c>
      <c r="AS43">
        <v>0</v>
      </c>
      <c r="AT43">
        <v>81</v>
      </c>
      <c r="AU43">
        <v>52</v>
      </c>
      <c r="AV43">
        <v>1</v>
      </c>
      <c r="AW43">
        <v>1</v>
      </c>
      <c r="AZ43">
        <v>1</v>
      </c>
      <c r="BA43">
        <v>25.83</v>
      </c>
      <c r="BB43">
        <v>10.119999999999999</v>
      </c>
      <c r="BC43">
        <v>10.8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2</v>
      </c>
      <c r="BJ43" t="s">
        <v>107</v>
      </c>
      <c r="BM43">
        <v>108001</v>
      </c>
      <c r="BN43">
        <v>0</v>
      </c>
      <c r="BO43" t="s">
        <v>105</v>
      </c>
      <c r="BP43">
        <v>1</v>
      </c>
      <c r="BQ43">
        <v>3</v>
      </c>
      <c r="BR43">
        <v>0</v>
      </c>
      <c r="BS43">
        <v>25.83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95</v>
      </c>
      <c r="CA43">
        <v>65</v>
      </c>
      <c r="CF43">
        <v>0</v>
      </c>
      <c r="CG43">
        <v>0</v>
      </c>
      <c r="CM43">
        <v>0</v>
      </c>
      <c r="CN43" t="s">
        <v>472</v>
      </c>
      <c r="CO43">
        <v>0</v>
      </c>
      <c r="CP43">
        <f t="shared" si="41"/>
        <v>5202.2299999999996</v>
      </c>
      <c r="CQ43">
        <f t="shared" si="42"/>
        <v>421.63200000000001</v>
      </c>
      <c r="CR43">
        <f t="shared" si="43"/>
        <v>1085.1676</v>
      </c>
      <c r="CS43">
        <f t="shared" si="44"/>
        <v>155.49659999999997</v>
      </c>
      <c r="CT43">
        <f t="shared" si="45"/>
        <v>8897.660100000001</v>
      </c>
      <c r="CU43">
        <f t="shared" si="46"/>
        <v>0</v>
      </c>
      <c r="CV43">
        <f t="shared" si="47"/>
        <v>35.808</v>
      </c>
      <c r="CW43">
        <f t="shared" si="48"/>
        <v>0.48</v>
      </c>
      <c r="CX43">
        <f t="shared" si="49"/>
        <v>0</v>
      </c>
      <c r="CY43">
        <f t="shared" si="50"/>
        <v>3666.5297999999998</v>
      </c>
      <c r="CZ43">
        <f t="shared" si="51"/>
        <v>2353.8216000000002</v>
      </c>
      <c r="DC43" t="s">
        <v>3</v>
      </c>
      <c r="DD43" t="s">
        <v>3</v>
      </c>
      <c r="DE43" t="s">
        <v>40</v>
      </c>
      <c r="DF43" t="s">
        <v>40</v>
      </c>
      <c r="DG43" t="s">
        <v>40</v>
      </c>
      <c r="DH43" t="s">
        <v>3</v>
      </c>
      <c r="DI43" t="s">
        <v>40</v>
      </c>
      <c r="DJ43" t="s">
        <v>40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1003</v>
      </c>
      <c r="DV43" t="s">
        <v>73</v>
      </c>
      <c r="DW43" t="s">
        <v>73</v>
      </c>
      <c r="DX43">
        <v>100</v>
      </c>
      <c r="EE43">
        <v>31265967</v>
      </c>
      <c r="EF43">
        <v>3</v>
      </c>
      <c r="EG43" t="s">
        <v>75</v>
      </c>
      <c r="EH43">
        <v>0</v>
      </c>
      <c r="EI43" t="s">
        <v>3</v>
      </c>
      <c r="EJ43">
        <v>2</v>
      </c>
      <c r="EK43">
        <v>108001</v>
      </c>
      <c r="EL43" t="s">
        <v>76</v>
      </c>
      <c r="EM43" t="s">
        <v>77</v>
      </c>
      <c r="EO43" t="s">
        <v>44</v>
      </c>
      <c r="EQ43">
        <v>512</v>
      </c>
      <c r="ER43">
        <v>415.46</v>
      </c>
      <c r="ES43">
        <v>39.04</v>
      </c>
      <c r="ET43">
        <v>89.36</v>
      </c>
      <c r="EU43">
        <v>5.0199999999999996</v>
      </c>
      <c r="EV43">
        <v>287.06</v>
      </c>
      <c r="EW43">
        <v>29.84</v>
      </c>
      <c r="EX43">
        <v>0.4</v>
      </c>
      <c r="EY43">
        <v>0</v>
      </c>
      <c r="FQ43">
        <v>0</v>
      </c>
      <c r="FR43">
        <f t="shared" si="21"/>
        <v>0</v>
      </c>
      <c r="FS43">
        <v>0</v>
      </c>
      <c r="FV43" t="s">
        <v>45</v>
      </c>
      <c r="FW43" t="s">
        <v>46</v>
      </c>
      <c r="FX43">
        <v>95</v>
      </c>
      <c r="FY43">
        <v>65</v>
      </c>
      <c r="GA43" t="s">
        <v>3</v>
      </c>
      <c r="GD43">
        <v>0</v>
      </c>
      <c r="GF43">
        <v>1723812601</v>
      </c>
      <c r="GG43">
        <v>2</v>
      </c>
      <c r="GH43">
        <v>1</v>
      </c>
      <c r="GI43">
        <v>2</v>
      </c>
      <c r="GJ43">
        <v>0</v>
      </c>
      <c r="GK43">
        <f>ROUND(R43*(R12)/100,2)</f>
        <v>0</v>
      </c>
      <c r="GL43">
        <f t="shared" si="22"/>
        <v>0</v>
      </c>
      <c r="GM43">
        <f t="shared" si="52"/>
        <v>11222.58</v>
      </c>
      <c r="GN43">
        <f t="shared" si="53"/>
        <v>0</v>
      </c>
      <c r="GO43">
        <f t="shared" si="54"/>
        <v>11222.58</v>
      </c>
      <c r="GP43">
        <f t="shared" si="55"/>
        <v>0</v>
      </c>
      <c r="GR43">
        <v>0</v>
      </c>
      <c r="GS43">
        <v>3</v>
      </c>
      <c r="GT43">
        <v>0</v>
      </c>
      <c r="GU43" t="s">
        <v>3</v>
      </c>
      <c r="GV43">
        <f t="shared" si="56"/>
        <v>0</v>
      </c>
      <c r="GW43">
        <v>1</v>
      </c>
      <c r="GX43">
        <f t="shared" si="23"/>
        <v>0</v>
      </c>
      <c r="HA43">
        <v>0</v>
      </c>
      <c r="HB43">
        <v>0</v>
      </c>
      <c r="IK43">
        <v>0</v>
      </c>
    </row>
    <row r="44" spans="1:245" x14ac:dyDescent="0.2">
      <c r="A44">
        <v>18</v>
      </c>
      <c r="B44">
        <v>1</v>
      </c>
      <c r="C44">
        <v>51</v>
      </c>
      <c r="E44" t="s">
        <v>108</v>
      </c>
      <c r="F44" t="s">
        <v>86</v>
      </c>
      <c r="G44" t="s">
        <v>87</v>
      </c>
      <c r="H44" t="s">
        <v>88</v>
      </c>
      <c r="I44">
        <f>I43*J44</f>
        <v>51</v>
      </c>
      <c r="J44">
        <v>102</v>
      </c>
      <c r="O44">
        <f t="shared" si="26"/>
        <v>69247.8</v>
      </c>
      <c r="P44">
        <f t="shared" si="27"/>
        <v>69247.8</v>
      </c>
      <c r="Q44">
        <f t="shared" si="28"/>
        <v>0</v>
      </c>
      <c r="R44">
        <f t="shared" si="29"/>
        <v>0</v>
      </c>
      <c r="S44">
        <f t="shared" si="30"/>
        <v>0</v>
      </c>
      <c r="T44">
        <f t="shared" si="31"/>
        <v>0</v>
      </c>
      <c r="U44">
        <f t="shared" si="32"/>
        <v>0</v>
      </c>
      <c r="V44">
        <f t="shared" si="33"/>
        <v>0</v>
      </c>
      <c r="W44">
        <f t="shared" si="34"/>
        <v>0</v>
      </c>
      <c r="X44">
        <f t="shared" si="35"/>
        <v>0</v>
      </c>
      <c r="Y44">
        <f t="shared" si="36"/>
        <v>0</v>
      </c>
      <c r="AA44">
        <v>35891596</v>
      </c>
      <c r="AB44">
        <f t="shared" si="37"/>
        <v>186</v>
      </c>
      <c r="AC44">
        <f t="shared" si="38"/>
        <v>186</v>
      </c>
      <c r="AD44">
        <f>ROUND((((ET44)-(EU44))+AE44),2)</f>
        <v>0</v>
      </c>
      <c r="AE44">
        <f>ROUND((EU44),2)</f>
        <v>0</v>
      </c>
      <c r="AF44">
        <f>ROUND((EV44),2)</f>
        <v>0</v>
      </c>
      <c r="AG44">
        <f t="shared" si="39"/>
        <v>0</v>
      </c>
      <c r="AH44">
        <f>(EW44)</f>
        <v>0</v>
      </c>
      <c r="AI44">
        <f>(EX44)</f>
        <v>0</v>
      </c>
      <c r="AJ44">
        <f t="shared" si="40"/>
        <v>0</v>
      </c>
      <c r="AK44">
        <v>186</v>
      </c>
      <c r="AL44">
        <v>186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81</v>
      </c>
      <c r="AU44">
        <v>52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7.3</v>
      </c>
      <c r="BD44" t="s">
        <v>3</v>
      </c>
      <c r="BE44" t="s">
        <v>3</v>
      </c>
      <c r="BF44" t="s">
        <v>3</v>
      </c>
      <c r="BG44" t="s">
        <v>3</v>
      </c>
      <c r="BH44">
        <v>3</v>
      </c>
      <c r="BI44">
        <v>2</v>
      </c>
      <c r="BJ44" t="s">
        <v>3</v>
      </c>
      <c r="BM44">
        <v>108001</v>
      </c>
      <c r="BN44">
        <v>0</v>
      </c>
      <c r="BO44" t="s">
        <v>3</v>
      </c>
      <c r="BP44">
        <v>0</v>
      </c>
      <c r="BQ44">
        <v>3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95</v>
      </c>
      <c r="CA44">
        <v>65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41"/>
        <v>69247.8</v>
      </c>
      <c r="CQ44">
        <f t="shared" si="42"/>
        <v>1357.8</v>
      </c>
      <c r="CR44">
        <f t="shared" si="43"/>
        <v>0</v>
      </c>
      <c r="CS44">
        <f t="shared" si="44"/>
        <v>0</v>
      </c>
      <c r="CT44">
        <f t="shared" si="45"/>
        <v>0</v>
      </c>
      <c r="CU44">
        <f t="shared" si="46"/>
        <v>0</v>
      </c>
      <c r="CV44">
        <f t="shared" si="47"/>
        <v>0</v>
      </c>
      <c r="CW44">
        <f t="shared" si="48"/>
        <v>0</v>
      </c>
      <c r="CX44">
        <f t="shared" si="49"/>
        <v>0</v>
      </c>
      <c r="CY44">
        <f t="shared" si="50"/>
        <v>0</v>
      </c>
      <c r="CZ44">
        <f t="shared" si="51"/>
        <v>0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1003</v>
      </c>
      <c r="DV44" t="s">
        <v>88</v>
      </c>
      <c r="DW44" t="s">
        <v>88</v>
      </c>
      <c r="DX44">
        <v>1</v>
      </c>
      <c r="EE44">
        <v>31265967</v>
      </c>
      <c r="EF44">
        <v>3</v>
      </c>
      <c r="EG44" t="s">
        <v>75</v>
      </c>
      <c r="EH44">
        <v>0</v>
      </c>
      <c r="EI44" t="s">
        <v>3</v>
      </c>
      <c r="EJ44">
        <v>2</v>
      </c>
      <c r="EK44">
        <v>108001</v>
      </c>
      <c r="EL44" t="s">
        <v>76</v>
      </c>
      <c r="EM44" t="s">
        <v>77</v>
      </c>
      <c r="EO44" t="s">
        <v>3</v>
      </c>
      <c r="EQ44">
        <v>512</v>
      </c>
      <c r="ER44">
        <v>186</v>
      </c>
      <c r="ES44">
        <v>186</v>
      </c>
      <c r="ET44">
        <v>0</v>
      </c>
      <c r="EU44">
        <v>0</v>
      </c>
      <c r="EV44">
        <v>0</v>
      </c>
      <c r="EW44">
        <v>0</v>
      </c>
      <c r="EX44">
        <v>0</v>
      </c>
      <c r="EZ44">
        <v>5</v>
      </c>
      <c r="FC44">
        <v>0</v>
      </c>
      <c r="FD44">
        <v>18</v>
      </c>
      <c r="FF44">
        <v>1292.3699999999999</v>
      </c>
      <c r="FQ44">
        <v>0</v>
      </c>
      <c r="FR44">
        <f t="shared" si="21"/>
        <v>0</v>
      </c>
      <c r="FS44">
        <v>0</v>
      </c>
      <c r="FV44" t="s">
        <v>45</v>
      </c>
      <c r="FW44" t="s">
        <v>46</v>
      </c>
      <c r="FX44">
        <v>95</v>
      </c>
      <c r="FY44">
        <v>65</v>
      </c>
      <c r="GA44" t="s">
        <v>89</v>
      </c>
      <c r="GD44">
        <v>0</v>
      </c>
      <c r="GF44">
        <v>-368135169</v>
      </c>
      <c r="GG44">
        <v>2</v>
      </c>
      <c r="GH44">
        <v>3</v>
      </c>
      <c r="GI44">
        <v>3</v>
      </c>
      <c r="GJ44">
        <v>0</v>
      </c>
      <c r="GK44">
        <f>ROUND(R44*(R12)/100,2)</f>
        <v>0</v>
      </c>
      <c r="GL44">
        <f t="shared" si="22"/>
        <v>0</v>
      </c>
      <c r="GM44">
        <f t="shared" si="52"/>
        <v>69247.8</v>
      </c>
      <c r="GN44">
        <f t="shared" si="53"/>
        <v>0</v>
      </c>
      <c r="GO44">
        <f t="shared" si="54"/>
        <v>69247.8</v>
      </c>
      <c r="GP44">
        <f t="shared" si="55"/>
        <v>0</v>
      </c>
      <c r="GR44">
        <v>1</v>
      </c>
      <c r="GS44">
        <v>1</v>
      </c>
      <c r="GT44">
        <v>0</v>
      </c>
      <c r="GU44" t="s">
        <v>3</v>
      </c>
      <c r="GV44">
        <f t="shared" si="56"/>
        <v>0</v>
      </c>
      <c r="GW44">
        <v>1</v>
      </c>
      <c r="GX44">
        <f t="shared" si="23"/>
        <v>0</v>
      </c>
      <c r="HA44">
        <v>0</v>
      </c>
      <c r="HB44">
        <v>0</v>
      </c>
      <c r="IK44">
        <v>0</v>
      </c>
    </row>
    <row r="45" spans="1:245" x14ac:dyDescent="0.2">
      <c r="A45">
        <v>17</v>
      </c>
      <c r="B45">
        <v>1</v>
      </c>
      <c r="C45">
        <f>ROW(SmtRes!A58)</f>
        <v>58</v>
      </c>
      <c r="D45">
        <f>ROW(EtalonRes!A53)</f>
        <v>53</v>
      </c>
      <c r="E45" t="s">
        <v>109</v>
      </c>
      <c r="F45" t="s">
        <v>110</v>
      </c>
      <c r="G45" t="s">
        <v>111</v>
      </c>
      <c r="H45" t="s">
        <v>112</v>
      </c>
      <c r="I45">
        <v>1</v>
      </c>
      <c r="J45">
        <v>0</v>
      </c>
      <c r="O45">
        <f t="shared" si="26"/>
        <v>637.4</v>
      </c>
      <c r="P45">
        <f t="shared" si="27"/>
        <v>70.69</v>
      </c>
      <c r="Q45">
        <f t="shared" si="28"/>
        <v>0</v>
      </c>
      <c r="R45">
        <f t="shared" si="29"/>
        <v>0</v>
      </c>
      <c r="S45">
        <f t="shared" si="30"/>
        <v>566.71</v>
      </c>
      <c r="T45">
        <f t="shared" si="31"/>
        <v>0</v>
      </c>
      <c r="U45">
        <f t="shared" si="32"/>
        <v>2.2799999999999998</v>
      </c>
      <c r="V45">
        <f t="shared" si="33"/>
        <v>0</v>
      </c>
      <c r="W45">
        <f t="shared" si="34"/>
        <v>0</v>
      </c>
      <c r="X45">
        <f t="shared" si="35"/>
        <v>459.04</v>
      </c>
      <c r="Y45">
        <f t="shared" si="36"/>
        <v>294.69</v>
      </c>
      <c r="AA45">
        <v>35891596</v>
      </c>
      <c r="AB45">
        <f t="shared" si="37"/>
        <v>27.18</v>
      </c>
      <c r="AC45">
        <f t="shared" si="38"/>
        <v>5.24</v>
      </c>
      <c r="AD45">
        <f>ROUND(((((ET45*1.2))-((EU45*1.2)))+AE45),2)</f>
        <v>0</v>
      </c>
      <c r="AE45">
        <f>ROUND(((EU45*1.2)),2)</f>
        <v>0</v>
      </c>
      <c r="AF45">
        <f>ROUND(((EV45*1.2)),2)</f>
        <v>21.94</v>
      </c>
      <c r="AG45">
        <f t="shared" si="39"/>
        <v>0</v>
      </c>
      <c r="AH45">
        <f>((EW45*1.2))</f>
        <v>2.2799999999999998</v>
      </c>
      <c r="AI45">
        <f>((EX45*1.2))</f>
        <v>0</v>
      </c>
      <c r="AJ45">
        <f t="shared" si="40"/>
        <v>0</v>
      </c>
      <c r="AK45">
        <v>23.52</v>
      </c>
      <c r="AL45">
        <v>5.24</v>
      </c>
      <c r="AM45">
        <v>0</v>
      </c>
      <c r="AN45">
        <v>0</v>
      </c>
      <c r="AO45">
        <v>18.28</v>
      </c>
      <c r="AP45">
        <v>0</v>
      </c>
      <c r="AQ45">
        <v>1.9</v>
      </c>
      <c r="AR45">
        <v>0</v>
      </c>
      <c r="AS45">
        <v>0</v>
      </c>
      <c r="AT45">
        <v>81</v>
      </c>
      <c r="AU45">
        <v>52</v>
      </c>
      <c r="AV45">
        <v>1</v>
      </c>
      <c r="AW45">
        <v>1</v>
      </c>
      <c r="AZ45">
        <v>1</v>
      </c>
      <c r="BA45">
        <v>25.83</v>
      </c>
      <c r="BB45">
        <v>1</v>
      </c>
      <c r="BC45">
        <v>13.49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2</v>
      </c>
      <c r="BJ45" t="s">
        <v>113</v>
      </c>
      <c r="BM45">
        <v>108001</v>
      </c>
      <c r="BN45">
        <v>0</v>
      </c>
      <c r="BO45" t="s">
        <v>110</v>
      </c>
      <c r="BP45">
        <v>1</v>
      </c>
      <c r="BQ45">
        <v>3</v>
      </c>
      <c r="BR45">
        <v>0</v>
      </c>
      <c r="BS45">
        <v>25.83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95</v>
      </c>
      <c r="CA45">
        <v>65</v>
      </c>
      <c r="CF45">
        <v>0</v>
      </c>
      <c r="CG45">
        <v>0</v>
      </c>
      <c r="CM45">
        <v>0</v>
      </c>
      <c r="CN45" t="s">
        <v>472</v>
      </c>
      <c r="CO45">
        <v>0</v>
      </c>
      <c r="CP45">
        <f t="shared" si="41"/>
        <v>637.40000000000009</v>
      </c>
      <c r="CQ45">
        <f t="shared" si="42"/>
        <v>70.687600000000003</v>
      </c>
      <c r="CR45">
        <f t="shared" si="43"/>
        <v>0</v>
      </c>
      <c r="CS45">
        <f t="shared" si="44"/>
        <v>0</v>
      </c>
      <c r="CT45">
        <f t="shared" si="45"/>
        <v>566.71019999999999</v>
      </c>
      <c r="CU45">
        <f t="shared" si="46"/>
        <v>0</v>
      </c>
      <c r="CV45">
        <f t="shared" si="47"/>
        <v>2.2799999999999998</v>
      </c>
      <c r="CW45">
        <f t="shared" si="48"/>
        <v>0</v>
      </c>
      <c r="CX45">
        <f t="shared" si="49"/>
        <v>0</v>
      </c>
      <c r="CY45">
        <f t="shared" si="50"/>
        <v>459.0351</v>
      </c>
      <c r="CZ45">
        <f t="shared" si="51"/>
        <v>294.68920000000003</v>
      </c>
      <c r="DC45" t="s">
        <v>3</v>
      </c>
      <c r="DD45" t="s">
        <v>3</v>
      </c>
      <c r="DE45" t="s">
        <v>40</v>
      </c>
      <c r="DF45" t="s">
        <v>40</v>
      </c>
      <c r="DG45" t="s">
        <v>40</v>
      </c>
      <c r="DH45" t="s">
        <v>3</v>
      </c>
      <c r="DI45" t="s">
        <v>40</v>
      </c>
      <c r="DJ45" t="s">
        <v>40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1013</v>
      </c>
      <c r="DV45" t="s">
        <v>112</v>
      </c>
      <c r="DW45" t="s">
        <v>112</v>
      </c>
      <c r="DX45">
        <v>1</v>
      </c>
      <c r="EE45">
        <v>31265967</v>
      </c>
      <c r="EF45">
        <v>3</v>
      </c>
      <c r="EG45" t="s">
        <v>75</v>
      </c>
      <c r="EH45">
        <v>0</v>
      </c>
      <c r="EI45" t="s">
        <v>3</v>
      </c>
      <c r="EJ45">
        <v>2</v>
      </c>
      <c r="EK45">
        <v>108001</v>
      </c>
      <c r="EL45" t="s">
        <v>76</v>
      </c>
      <c r="EM45" t="s">
        <v>77</v>
      </c>
      <c r="EO45" t="s">
        <v>44</v>
      </c>
      <c r="EQ45">
        <v>512</v>
      </c>
      <c r="ER45">
        <v>23.52</v>
      </c>
      <c r="ES45">
        <v>5.24</v>
      </c>
      <c r="ET45">
        <v>0</v>
      </c>
      <c r="EU45">
        <v>0</v>
      </c>
      <c r="EV45">
        <v>18.28</v>
      </c>
      <c r="EW45">
        <v>1.9</v>
      </c>
      <c r="EX45">
        <v>0</v>
      </c>
      <c r="EY45">
        <v>0</v>
      </c>
      <c r="FQ45">
        <v>0</v>
      </c>
      <c r="FR45">
        <f t="shared" si="21"/>
        <v>0</v>
      </c>
      <c r="FS45">
        <v>0</v>
      </c>
      <c r="FV45" t="s">
        <v>45</v>
      </c>
      <c r="FW45" t="s">
        <v>46</v>
      </c>
      <c r="FX45">
        <v>95</v>
      </c>
      <c r="FY45">
        <v>65</v>
      </c>
      <c r="GA45" t="s">
        <v>3</v>
      </c>
      <c r="GD45">
        <v>0</v>
      </c>
      <c r="GF45">
        <v>-1319913433</v>
      </c>
      <c r="GG45">
        <v>2</v>
      </c>
      <c r="GH45">
        <v>1</v>
      </c>
      <c r="GI45">
        <v>2</v>
      </c>
      <c r="GJ45">
        <v>0</v>
      </c>
      <c r="GK45">
        <f>ROUND(R45*(R12)/100,2)</f>
        <v>0</v>
      </c>
      <c r="GL45">
        <f t="shared" si="22"/>
        <v>0</v>
      </c>
      <c r="GM45">
        <f t="shared" si="52"/>
        <v>1391.13</v>
      </c>
      <c r="GN45">
        <f t="shared" si="53"/>
        <v>0</v>
      </c>
      <c r="GO45">
        <f t="shared" si="54"/>
        <v>1391.13</v>
      </c>
      <c r="GP45">
        <f t="shared" si="55"/>
        <v>0</v>
      </c>
      <c r="GR45">
        <v>0</v>
      </c>
      <c r="GS45">
        <v>3</v>
      </c>
      <c r="GT45">
        <v>0</v>
      </c>
      <c r="GU45" t="s">
        <v>3</v>
      </c>
      <c r="GV45">
        <f t="shared" si="56"/>
        <v>0</v>
      </c>
      <c r="GW45">
        <v>1</v>
      </c>
      <c r="GX45">
        <f t="shared" si="23"/>
        <v>0</v>
      </c>
      <c r="HA45">
        <v>0</v>
      </c>
      <c r="HB45">
        <v>0</v>
      </c>
      <c r="IK45">
        <v>0</v>
      </c>
    </row>
    <row r="46" spans="1:245" x14ac:dyDescent="0.2">
      <c r="A46">
        <v>18</v>
      </c>
      <c r="B46">
        <v>1</v>
      </c>
      <c r="C46">
        <v>58</v>
      </c>
      <c r="E46" t="s">
        <v>114</v>
      </c>
      <c r="F46" t="s">
        <v>115</v>
      </c>
      <c r="G46" t="s">
        <v>116</v>
      </c>
      <c r="H46" t="s">
        <v>112</v>
      </c>
      <c r="I46">
        <f>I45*J46</f>
        <v>1</v>
      </c>
      <c r="J46">
        <v>1</v>
      </c>
      <c r="O46">
        <f t="shared" si="26"/>
        <v>2257.8200000000002</v>
      </c>
      <c r="P46">
        <f t="shared" si="27"/>
        <v>2257.8200000000002</v>
      </c>
      <c r="Q46">
        <f t="shared" si="28"/>
        <v>0</v>
      </c>
      <c r="R46">
        <f t="shared" si="29"/>
        <v>0</v>
      </c>
      <c r="S46">
        <f t="shared" si="30"/>
        <v>0</v>
      </c>
      <c r="T46">
        <f t="shared" si="31"/>
        <v>0</v>
      </c>
      <c r="U46">
        <f t="shared" si="32"/>
        <v>0</v>
      </c>
      <c r="V46">
        <f t="shared" si="33"/>
        <v>0</v>
      </c>
      <c r="W46">
        <f t="shared" si="34"/>
        <v>0</v>
      </c>
      <c r="X46">
        <f t="shared" si="35"/>
        <v>0</v>
      </c>
      <c r="Y46">
        <f t="shared" si="36"/>
        <v>0</v>
      </c>
      <c r="AA46">
        <v>35891596</v>
      </c>
      <c r="AB46">
        <f t="shared" si="37"/>
        <v>309.29000000000002</v>
      </c>
      <c r="AC46">
        <f t="shared" si="38"/>
        <v>309.29000000000002</v>
      </c>
      <c r="AD46">
        <f>ROUND((((ET46)-(EU46))+AE46),2)</f>
        <v>0</v>
      </c>
      <c r="AE46">
        <f>ROUND((EU46),2)</f>
        <v>0</v>
      </c>
      <c r="AF46">
        <f>ROUND((EV46),2)</f>
        <v>0</v>
      </c>
      <c r="AG46">
        <f t="shared" si="39"/>
        <v>0</v>
      </c>
      <c r="AH46">
        <f>(EW46)</f>
        <v>0</v>
      </c>
      <c r="AI46">
        <f>(EX46)</f>
        <v>0</v>
      </c>
      <c r="AJ46">
        <f t="shared" si="40"/>
        <v>0</v>
      </c>
      <c r="AK46">
        <v>309.28999999999996</v>
      </c>
      <c r="AL46">
        <v>309.28999999999996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81</v>
      </c>
      <c r="AU46">
        <v>52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7.3</v>
      </c>
      <c r="BD46" t="s">
        <v>3</v>
      </c>
      <c r="BE46" t="s">
        <v>3</v>
      </c>
      <c r="BF46" t="s">
        <v>3</v>
      </c>
      <c r="BG46" t="s">
        <v>3</v>
      </c>
      <c r="BH46">
        <v>3</v>
      </c>
      <c r="BI46">
        <v>2</v>
      </c>
      <c r="BJ46" t="s">
        <v>3</v>
      </c>
      <c r="BM46">
        <v>108001</v>
      </c>
      <c r="BN46">
        <v>0</v>
      </c>
      <c r="BO46" t="s">
        <v>3</v>
      </c>
      <c r="BP46">
        <v>0</v>
      </c>
      <c r="BQ46">
        <v>3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95</v>
      </c>
      <c r="CA46">
        <v>65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1"/>
        <v>2257.8200000000002</v>
      </c>
      <c r="CQ46">
        <f t="shared" si="42"/>
        <v>2257.817</v>
      </c>
      <c r="CR46">
        <f t="shared" si="43"/>
        <v>0</v>
      </c>
      <c r="CS46">
        <f t="shared" si="44"/>
        <v>0</v>
      </c>
      <c r="CT46">
        <f t="shared" si="45"/>
        <v>0</v>
      </c>
      <c r="CU46">
        <f t="shared" si="46"/>
        <v>0</v>
      </c>
      <c r="CV46">
        <f t="shared" si="47"/>
        <v>0</v>
      </c>
      <c r="CW46">
        <f t="shared" si="48"/>
        <v>0</v>
      </c>
      <c r="CX46">
        <f t="shared" si="49"/>
        <v>0</v>
      </c>
      <c r="CY46">
        <f t="shared" si="50"/>
        <v>0</v>
      </c>
      <c r="CZ46">
        <f t="shared" si="51"/>
        <v>0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1013</v>
      </c>
      <c r="DV46" t="s">
        <v>112</v>
      </c>
      <c r="DW46" t="s">
        <v>112</v>
      </c>
      <c r="DX46">
        <v>1</v>
      </c>
      <c r="EE46">
        <v>31265967</v>
      </c>
      <c r="EF46">
        <v>3</v>
      </c>
      <c r="EG46" t="s">
        <v>75</v>
      </c>
      <c r="EH46">
        <v>0</v>
      </c>
      <c r="EI46" t="s">
        <v>3</v>
      </c>
      <c r="EJ46">
        <v>2</v>
      </c>
      <c r="EK46">
        <v>108001</v>
      </c>
      <c r="EL46" t="s">
        <v>76</v>
      </c>
      <c r="EM46" t="s">
        <v>77</v>
      </c>
      <c r="EO46" t="s">
        <v>3</v>
      </c>
      <c r="EQ46">
        <v>0</v>
      </c>
      <c r="ER46">
        <v>309.28999999999996</v>
      </c>
      <c r="ES46">
        <v>309.28999999999996</v>
      </c>
      <c r="ET46">
        <v>0</v>
      </c>
      <c r="EU46">
        <v>0</v>
      </c>
      <c r="EV46">
        <v>0</v>
      </c>
      <c r="EW46">
        <v>0</v>
      </c>
      <c r="EX46">
        <v>0</v>
      </c>
      <c r="EZ46">
        <v>5</v>
      </c>
      <c r="FC46">
        <v>0</v>
      </c>
      <c r="FD46">
        <v>18</v>
      </c>
      <c r="FF46">
        <v>2149.15</v>
      </c>
      <c r="FQ46">
        <v>0</v>
      </c>
      <c r="FR46">
        <f t="shared" si="21"/>
        <v>0</v>
      </c>
      <c r="FS46">
        <v>0</v>
      </c>
      <c r="FV46" t="s">
        <v>45</v>
      </c>
      <c r="FW46" t="s">
        <v>46</v>
      </c>
      <c r="FX46">
        <v>95</v>
      </c>
      <c r="FY46">
        <v>65</v>
      </c>
      <c r="GA46" t="s">
        <v>117</v>
      </c>
      <c r="GD46">
        <v>0</v>
      </c>
      <c r="GF46">
        <v>-1375043508</v>
      </c>
      <c r="GG46">
        <v>2</v>
      </c>
      <c r="GH46">
        <v>3</v>
      </c>
      <c r="GI46">
        <v>3</v>
      </c>
      <c r="GJ46">
        <v>0</v>
      </c>
      <c r="GK46">
        <f>ROUND(R46*(R12)/100,2)</f>
        <v>0</v>
      </c>
      <c r="GL46">
        <f t="shared" si="22"/>
        <v>0</v>
      </c>
      <c r="GM46">
        <f t="shared" si="52"/>
        <v>2257.8200000000002</v>
      </c>
      <c r="GN46">
        <f t="shared" si="53"/>
        <v>0</v>
      </c>
      <c r="GO46">
        <f t="shared" si="54"/>
        <v>2257.8200000000002</v>
      </c>
      <c r="GP46">
        <f t="shared" si="55"/>
        <v>0</v>
      </c>
      <c r="GR46">
        <v>1</v>
      </c>
      <c r="GS46">
        <v>1</v>
      </c>
      <c r="GT46">
        <v>0</v>
      </c>
      <c r="GU46" t="s">
        <v>3</v>
      </c>
      <c r="GV46">
        <f t="shared" si="56"/>
        <v>0</v>
      </c>
      <c r="GW46">
        <v>1</v>
      </c>
      <c r="GX46">
        <f t="shared" si="23"/>
        <v>0</v>
      </c>
      <c r="HA46">
        <v>0</v>
      </c>
      <c r="HB46">
        <v>0</v>
      </c>
      <c r="IK46">
        <v>0</v>
      </c>
    </row>
    <row r="47" spans="1:245" x14ac:dyDescent="0.2">
      <c r="A47">
        <v>17</v>
      </c>
      <c r="B47">
        <v>1</v>
      </c>
      <c r="C47">
        <f>ROW(SmtRes!A68)</f>
        <v>68</v>
      </c>
      <c r="D47">
        <f>ROW(EtalonRes!A62)</f>
        <v>62</v>
      </c>
      <c r="E47" t="s">
        <v>118</v>
      </c>
      <c r="F47" t="s">
        <v>119</v>
      </c>
      <c r="G47" t="s">
        <v>120</v>
      </c>
      <c r="H47" t="s">
        <v>112</v>
      </c>
      <c r="I47">
        <v>1</v>
      </c>
      <c r="J47">
        <v>0</v>
      </c>
      <c r="O47">
        <f t="shared" si="26"/>
        <v>2037.42</v>
      </c>
      <c r="P47">
        <f t="shared" si="27"/>
        <v>162.25</v>
      </c>
      <c r="Q47">
        <f t="shared" si="28"/>
        <v>20.32</v>
      </c>
      <c r="R47">
        <f t="shared" si="29"/>
        <v>8.01</v>
      </c>
      <c r="S47">
        <f t="shared" si="30"/>
        <v>1854.85</v>
      </c>
      <c r="T47">
        <f t="shared" si="31"/>
        <v>0</v>
      </c>
      <c r="U47">
        <f t="shared" si="32"/>
        <v>7.4639999999999995</v>
      </c>
      <c r="V47">
        <f t="shared" si="33"/>
        <v>2.4E-2</v>
      </c>
      <c r="W47">
        <f t="shared" si="34"/>
        <v>0</v>
      </c>
      <c r="X47">
        <f t="shared" si="35"/>
        <v>1508.92</v>
      </c>
      <c r="Y47">
        <f t="shared" si="36"/>
        <v>968.69</v>
      </c>
      <c r="AA47">
        <v>35891596</v>
      </c>
      <c r="AB47">
        <f t="shared" si="37"/>
        <v>94.4</v>
      </c>
      <c r="AC47">
        <f t="shared" si="38"/>
        <v>20.46</v>
      </c>
      <c r="AD47">
        <f>ROUND(((((ET47*1.2))-((EU47*1.2)))+AE47),2)</f>
        <v>2.13</v>
      </c>
      <c r="AE47">
        <f>ROUND(((EU47*1.2)),2)</f>
        <v>0.31</v>
      </c>
      <c r="AF47">
        <f>ROUND(((EV47*1.2)),2)</f>
        <v>71.81</v>
      </c>
      <c r="AG47">
        <f t="shared" si="39"/>
        <v>0</v>
      </c>
      <c r="AH47">
        <f>((EW47*1.2))</f>
        <v>7.4639999999999995</v>
      </c>
      <c r="AI47">
        <f>((EX47*1.2))</f>
        <v>2.4E-2</v>
      </c>
      <c r="AJ47">
        <f t="shared" si="40"/>
        <v>0</v>
      </c>
      <c r="AK47">
        <v>82.08</v>
      </c>
      <c r="AL47">
        <v>20.46</v>
      </c>
      <c r="AM47">
        <v>1.78</v>
      </c>
      <c r="AN47">
        <v>0.26</v>
      </c>
      <c r="AO47">
        <v>59.84</v>
      </c>
      <c r="AP47">
        <v>0</v>
      </c>
      <c r="AQ47">
        <v>6.22</v>
      </c>
      <c r="AR47">
        <v>0.02</v>
      </c>
      <c r="AS47">
        <v>0</v>
      </c>
      <c r="AT47">
        <v>81</v>
      </c>
      <c r="AU47">
        <v>52</v>
      </c>
      <c r="AV47">
        <v>1</v>
      </c>
      <c r="AW47">
        <v>1</v>
      </c>
      <c r="AZ47">
        <v>1</v>
      </c>
      <c r="BA47">
        <v>25.83</v>
      </c>
      <c r="BB47">
        <v>9.5399999999999991</v>
      </c>
      <c r="BC47">
        <v>7.93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2</v>
      </c>
      <c r="BJ47" t="s">
        <v>121</v>
      </c>
      <c r="BM47">
        <v>108001</v>
      </c>
      <c r="BN47">
        <v>0</v>
      </c>
      <c r="BO47" t="s">
        <v>119</v>
      </c>
      <c r="BP47">
        <v>1</v>
      </c>
      <c r="BQ47">
        <v>3</v>
      </c>
      <c r="BR47">
        <v>0</v>
      </c>
      <c r="BS47">
        <v>25.83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95</v>
      </c>
      <c r="CA47">
        <v>65</v>
      </c>
      <c r="CF47">
        <v>0</v>
      </c>
      <c r="CG47">
        <v>0</v>
      </c>
      <c r="CM47">
        <v>0</v>
      </c>
      <c r="CN47" t="s">
        <v>472</v>
      </c>
      <c r="CO47">
        <v>0</v>
      </c>
      <c r="CP47">
        <f t="shared" si="41"/>
        <v>2037.4199999999998</v>
      </c>
      <c r="CQ47">
        <f t="shared" si="42"/>
        <v>162.24780000000001</v>
      </c>
      <c r="CR47">
        <f t="shared" si="43"/>
        <v>20.320199999999996</v>
      </c>
      <c r="CS47">
        <f t="shared" si="44"/>
        <v>8.007299999999999</v>
      </c>
      <c r="CT47">
        <f t="shared" si="45"/>
        <v>1854.8523</v>
      </c>
      <c r="CU47">
        <f t="shared" si="46"/>
        <v>0</v>
      </c>
      <c r="CV47">
        <f t="shared" si="47"/>
        <v>7.4639999999999995</v>
      </c>
      <c r="CW47">
        <f t="shared" si="48"/>
        <v>2.4E-2</v>
      </c>
      <c r="CX47">
        <f t="shared" si="49"/>
        <v>0</v>
      </c>
      <c r="CY47">
        <f t="shared" si="50"/>
        <v>1508.9166</v>
      </c>
      <c r="CZ47">
        <f t="shared" si="51"/>
        <v>968.68719999999996</v>
      </c>
      <c r="DC47" t="s">
        <v>3</v>
      </c>
      <c r="DD47" t="s">
        <v>3</v>
      </c>
      <c r="DE47" t="s">
        <v>40</v>
      </c>
      <c r="DF47" t="s">
        <v>40</v>
      </c>
      <c r="DG47" t="s">
        <v>40</v>
      </c>
      <c r="DH47" t="s">
        <v>3</v>
      </c>
      <c r="DI47" t="s">
        <v>40</v>
      </c>
      <c r="DJ47" t="s">
        <v>40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1013</v>
      </c>
      <c r="DV47" t="s">
        <v>112</v>
      </c>
      <c r="DW47" t="s">
        <v>112</v>
      </c>
      <c r="DX47">
        <v>1</v>
      </c>
      <c r="EE47">
        <v>31265967</v>
      </c>
      <c r="EF47">
        <v>3</v>
      </c>
      <c r="EG47" t="s">
        <v>75</v>
      </c>
      <c r="EH47">
        <v>0</v>
      </c>
      <c r="EI47" t="s">
        <v>3</v>
      </c>
      <c r="EJ47">
        <v>2</v>
      </c>
      <c r="EK47">
        <v>108001</v>
      </c>
      <c r="EL47" t="s">
        <v>76</v>
      </c>
      <c r="EM47" t="s">
        <v>77</v>
      </c>
      <c r="EO47" t="s">
        <v>44</v>
      </c>
      <c r="EQ47">
        <v>512</v>
      </c>
      <c r="ER47">
        <v>82.08</v>
      </c>
      <c r="ES47">
        <v>20.46</v>
      </c>
      <c r="ET47">
        <v>1.78</v>
      </c>
      <c r="EU47">
        <v>0.26</v>
      </c>
      <c r="EV47">
        <v>59.84</v>
      </c>
      <c r="EW47">
        <v>6.22</v>
      </c>
      <c r="EX47">
        <v>0.02</v>
      </c>
      <c r="EY47">
        <v>0</v>
      </c>
      <c r="FQ47">
        <v>0</v>
      </c>
      <c r="FR47">
        <f t="shared" si="21"/>
        <v>0</v>
      </c>
      <c r="FS47">
        <v>0</v>
      </c>
      <c r="FV47" t="s">
        <v>45</v>
      </c>
      <c r="FW47" t="s">
        <v>46</v>
      </c>
      <c r="FX47">
        <v>95</v>
      </c>
      <c r="FY47">
        <v>65</v>
      </c>
      <c r="GA47" t="s">
        <v>3</v>
      </c>
      <c r="GD47">
        <v>0</v>
      </c>
      <c r="GF47">
        <v>994393983</v>
      </c>
      <c r="GG47">
        <v>2</v>
      </c>
      <c r="GH47">
        <v>1</v>
      </c>
      <c r="GI47">
        <v>2</v>
      </c>
      <c r="GJ47">
        <v>0</v>
      </c>
      <c r="GK47">
        <f>ROUND(R47*(R12)/100,2)</f>
        <v>0</v>
      </c>
      <c r="GL47">
        <f t="shared" si="22"/>
        <v>0</v>
      </c>
      <c r="GM47">
        <f t="shared" si="52"/>
        <v>4515.03</v>
      </c>
      <c r="GN47">
        <f t="shared" si="53"/>
        <v>0</v>
      </c>
      <c r="GO47">
        <f t="shared" si="54"/>
        <v>4515.03</v>
      </c>
      <c r="GP47">
        <f t="shared" si="55"/>
        <v>0</v>
      </c>
      <c r="GR47">
        <v>0</v>
      </c>
      <c r="GS47">
        <v>3</v>
      </c>
      <c r="GT47">
        <v>0</v>
      </c>
      <c r="GU47" t="s">
        <v>3</v>
      </c>
      <c r="GV47">
        <f t="shared" si="56"/>
        <v>0</v>
      </c>
      <c r="GW47">
        <v>1</v>
      </c>
      <c r="GX47">
        <f t="shared" si="23"/>
        <v>0</v>
      </c>
      <c r="HA47">
        <v>0</v>
      </c>
      <c r="HB47">
        <v>0</v>
      </c>
      <c r="IK47">
        <v>0</v>
      </c>
    </row>
    <row r="48" spans="1:245" x14ac:dyDescent="0.2">
      <c r="A48">
        <v>18</v>
      </c>
      <c r="B48">
        <v>1</v>
      </c>
      <c r="C48">
        <v>68</v>
      </c>
      <c r="E48" t="s">
        <v>122</v>
      </c>
      <c r="F48" t="s">
        <v>123</v>
      </c>
      <c r="G48" t="s">
        <v>124</v>
      </c>
      <c r="H48" t="s">
        <v>112</v>
      </c>
      <c r="I48">
        <f>I47*J48</f>
        <v>1</v>
      </c>
      <c r="J48">
        <v>1</v>
      </c>
      <c r="O48">
        <f t="shared" si="26"/>
        <v>1717.47</v>
      </c>
      <c r="P48">
        <f t="shared" si="27"/>
        <v>1717.47</v>
      </c>
      <c r="Q48">
        <f t="shared" si="28"/>
        <v>0</v>
      </c>
      <c r="R48">
        <f t="shared" si="29"/>
        <v>0</v>
      </c>
      <c r="S48">
        <f t="shared" si="30"/>
        <v>0</v>
      </c>
      <c r="T48">
        <f t="shared" si="31"/>
        <v>0</v>
      </c>
      <c r="U48">
        <f t="shared" si="32"/>
        <v>0</v>
      </c>
      <c r="V48">
        <f t="shared" si="33"/>
        <v>0</v>
      </c>
      <c r="W48">
        <f t="shared" si="34"/>
        <v>0</v>
      </c>
      <c r="X48">
        <f t="shared" si="35"/>
        <v>0</v>
      </c>
      <c r="Y48">
        <f t="shared" si="36"/>
        <v>0</v>
      </c>
      <c r="AA48">
        <v>35891596</v>
      </c>
      <c r="AB48">
        <f t="shared" si="37"/>
        <v>235.27</v>
      </c>
      <c r="AC48">
        <f t="shared" si="38"/>
        <v>235.27</v>
      </c>
      <c r="AD48">
        <f>ROUND((((ET48)-(EU48))+AE48),2)</f>
        <v>0</v>
      </c>
      <c r="AE48">
        <f>ROUND((EU48),2)</f>
        <v>0</v>
      </c>
      <c r="AF48">
        <f>ROUND((EV48),2)</f>
        <v>0</v>
      </c>
      <c r="AG48">
        <f t="shared" si="39"/>
        <v>0</v>
      </c>
      <c r="AH48">
        <f>(EW48)</f>
        <v>0</v>
      </c>
      <c r="AI48">
        <f>(EX48)</f>
        <v>0</v>
      </c>
      <c r="AJ48">
        <f t="shared" si="40"/>
        <v>0</v>
      </c>
      <c r="AK48">
        <v>235.27</v>
      </c>
      <c r="AL48">
        <v>235.27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81</v>
      </c>
      <c r="AU48">
        <v>52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7.3</v>
      </c>
      <c r="BD48" t="s">
        <v>3</v>
      </c>
      <c r="BE48" t="s">
        <v>3</v>
      </c>
      <c r="BF48" t="s">
        <v>3</v>
      </c>
      <c r="BG48" t="s">
        <v>3</v>
      </c>
      <c r="BH48">
        <v>3</v>
      </c>
      <c r="BI48">
        <v>2</v>
      </c>
      <c r="BJ48" t="s">
        <v>3</v>
      </c>
      <c r="BM48">
        <v>108001</v>
      </c>
      <c r="BN48">
        <v>0</v>
      </c>
      <c r="BO48" t="s">
        <v>3</v>
      </c>
      <c r="BP48">
        <v>0</v>
      </c>
      <c r="BQ48">
        <v>3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95</v>
      </c>
      <c r="CA48">
        <v>65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41"/>
        <v>1717.47</v>
      </c>
      <c r="CQ48">
        <f t="shared" si="42"/>
        <v>1717.471</v>
      </c>
      <c r="CR48">
        <f t="shared" si="43"/>
        <v>0</v>
      </c>
      <c r="CS48">
        <f t="shared" si="44"/>
        <v>0</v>
      </c>
      <c r="CT48">
        <f t="shared" si="45"/>
        <v>0</v>
      </c>
      <c r="CU48">
        <f t="shared" si="46"/>
        <v>0</v>
      </c>
      <c r="CV48">
        <f t="shared" si="47"/>
        <v>0</v>
      </c>
      <c r="CW48">
        <f t="shared" si="48"/>
        <v>0</v>
      </c>
      <c r="CX48">
        <f t="shared" si="49"/>
        <v>0</v>
      </c>
      <c r="CY48">
        <f t="shared" si="50"/>
        <v>0</v>
      </c>
      <c r="CZ48">
        <f t="shared" si="51"/>
        <v>0</v>
      </c>
      <c r="DC48" t="s">
        <v>3</v>
      </c>
      <c r="DD48" t="s">
        <v>3</v>
      </c>
      <c r="DE48" t="s">
        <v>3</v>
      </c>
      <c r="DF48" t="s">
        <v>3</v>
      </c>
      <c r="DG48" t="s">
        <v>3</v>
      </c>
      <c r="DH48" t="s">
        <v>3</v>
      </c>
      <c r="DI48" t="s">
        <v>3</v>
      </c>
      <c r="DJ48" t="s">
        <v>3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1013</v>
      </c>
      <c r="DV48" t="s">
        <v>112</v>
      </c>
      <c r="DW48" t="s">
        <v>112</v>
      </c>
      <c r="DX48">
        <v>1</v>
      </c>
      <c r="EE48">
        <v>31265967</v>
      </c>
      <c r="EF48">
        <v>3</v>
      </c>
      <c r="EG48" t="s">
        <v>75</v>
      </c>
      <c r="EH48">
        <v>0</v>
      </c>
      <c r="EI48" t="s">
        <v>3</v>
      </c>
      <c r="EJ48">
        <v>2</v>
      </c>
      <c r="EK48">
        <v>108001</v>
      </c>
      <c r="EL48" t="s">
        <v>76</v>
      </c>
      <c r="EM48" t="s">
        <v>77</v>
      </c>
      <c r="EO48" t="s">
        <v>3</v>
      </c>
      <c r="EQ48">
        <v>0</v>
      </c>
      <c r="ER48">
        <v>235.27</v>
      </c>
      <c r="ES48">
        <v>235.27</v>
      </c>
      <c r="ET48">
        <v>0</v>
      </c>
      <c r="EU48">
        <v>0</v>
      </c>
      <c r="EV48">
        <v>0</v>
      </c>
      <c r="EW48">
        <v>0</v>
      </c>
      <c r="EX48">
        <v>0</v>
      </c>
      <c r="EZ48">
        <v>5</v>
      </c>
      <c r="FC48">
        <v>0</v>
      </c>
      <c r="FD48">
        <v>18</v>
      </c>
      <c r="FF48">
        <v>1634.75</v>
      </c>
      <c r="FQ48">
        <v>0</v>
      </c>
      <c r="FR48">
        <f t="shared" si="21"/>
        <v>0</v>
      </c>
      <c r="FS48">
        <v>0</v>
      </c>
      <c r="FV48" t="s">
        <v>45</v>
      </c>
      <c r="FW48" t="s">
        <v>46</v>
      </c>
      <c r="FX48">
        <v>95</v>
      </c>
      <c r="FY48">
        <v>65</v>
      </c>
      <c r="GA48" t="s">
        <v>125</v>
      </c>
      <c r="GD48">
        <v>0</v>
      </c>
      <c r="GF48">
        <v>121425004</v>
      </c>
      <c r="GG48">
        <v>2</v>
      </c>
      <c r="GH48">
        <v>3</v>
      </c>
      <c r="GI48">
        <v>3</v>
      </c>
      <c r="GJ48">
        <v>0</v>
      </c>
      <c r="GK48">
        <f>ROUND(R48*(R12)/100,2)</f>
        <v>0</v>
      </c>
      <c r="GL48">
        <f t="shared" si="22"/>
        <v>0</v>
      </c>
      <c r="GM48">
        <f t="shared" si="52"/>
        <v>1717.47</v>
      </c>
      <c r="GN48">
        <f t="shared" si="53"/>
        <v>0</v>
      </c>
      <c r="GO48">
        <f t="shared" si="54"/>
        <v>1717.47</v>
      </c>
      <c r="GP48">
        <f t="shared" si="55"/>
        <v>0</v>
      </c>
      <c r="GR48">
        <v>1</v>
      </c>
      <c r="GS48">
        <v>1</v>
      </c>
      <c r="GT48">
        <v>0</v>
      </c>
      <c r="GU48" t="s">
        <v>3</v>
      </c>
      <c r="GV48">
        <f t="shared" si="56"/>
        <v>0</v>
      </c>
      <c r="GW48">
        <v>1</v>
      </c>
      <c r="GX48">
        <f t="shared" si="23"/>
        <v>0</v>
      </c>
      <c r="HA48">
        <v>0</v>
      </c>
      <c r="HB48">
        <v>0</v>
      </c>
      <c r="IK48">
        <v>0</v>
      </c>
    </row>
    <row r="49" spans="1:245" x14ac:dyDescent="0.2">
      <c r="A49">
        <v>17</v>
      </c>
      <c r="B49">
        <v>1</v>
      </c>
      <c r="C49">
        <f>ROW(SmtRes!A70)</f>
        <v>70</v>
      </c>
      <c r="D49">
        <f>ROW(EtalonRes!A64)</f>
        <v>64</v>
      </c>
      <c r="E49" t="s">
        <v>126</v>
      </c>
      <c r="F49" t="s">
        <v>127</v>
      </c>
      <c r="G49" t="s">
        <v>128</v>
      </c>
      <c r="H49" t="s">
        <v>129</v>
      </c>
      <c r="I49">
        <f>ROUND(4/100,9)</f>
        <v>0.04</v>
      </c>
      <c r="J49">
        <v>0</v>
      </c>
      <c r="O49">
        <f t="shared" si="26"/>
        <v>183.34</v>
      </c>
      <c r="P49">
        <f t="shared" si="27"/>
        <v>3.01</v>
      </c>
      <c r="Q49">
        <f t="shared" si="28"/>
        <v>0</v>
      </c>
      <c r="R49">
        <f t="shared" si="29"/>
        <v>0</v>
      </c>
      <c r="S49">
        <f t="shared" si="30"/>
        <v>180.33</v>
      </c>
      <c r="T49">
        <f t="shared" si="31"/>
        <v>0</v>
      </c>
      <c r="U49">
        <f t="shared" si="32"/>
        <v>0.72575999999999996</v>
      </c>
      <c r="V49">
        <f t="shared" si="33"/>
        <v>0</v>
      </c>
      <c r="W49">
        <f t="shared" si="34"/>
        <v>0</v>
      </c>
      <c r="X49">
        <f t="shared" si="35"/>
        <v>146.07</v>
      </c>
      <c r="Y49">
        <f t="shared" si="36"/>
        <v>93.77</v>
      </c>
      <c r="AA49">
        <v>35891596</v>
      </c>
      <c r="AB49">
        <f t="shared" si="37"/>
        <v>177.45</v>
      </c>
      <c r="AC49">
        <f t="shared" si="38"/>
        <v>2.91</v>
      </c>
      <c r="AD49">
        <f>ROUND(((((ET49*1.2))-((EU49*1.2)))+AE49),2)</f>
        <v>0</v>
      </c>
      <c r="AE49">
        <f t="shared" ref="AE49:AF52" si="57">ROUND(((EU49*1.2)),2)</f>
        <v>0</v>
      </c>
      <c r="AF49">
        <f t="shared" si="57"/>
        <v>174.54</v>
      </c>
      <c r="AG49">
        <f t="shared" si="39"/>
        <v>0</v>
      </c>
      <c r="AH49">
        <f t="shared" ref="AH49:AI52" si="58">((EW49*1.2))</f>
        <v>18.143999999999998</v>
      </c>
      <c r="AI49">
        <f t="shared" si="58"/>
        <v>0</v>
      </c>
      <c r="AJ49">
        <f t="shared" si="40"/>
        <v>0</v>
      </c>
      <c r="AK49">
        <v>148.36000000000001</v>
      </c>
      <c r="AL49">
        <v>2.91</v>
      </c>
      <c r="AM49">
        <v>0</v>
      </c>
      <c r="AN49">
        <v>0</v>
      </c>
      <c r="AO49">
        <v>145.44999999999999</v>
      </c>
      <c r="AP49">
        <v>0</v>
      </c>
      <c r="AQ49">
        <v>15.12</v>
      </c>
      <c r="AR49">
        <v>0</v>
      </c>
      <c r="AS49">
        <v>0</v>
      </c>
      <c r="AT49">
        <v>81</v>
      </c>
      <c r="AU49">
        <v>52</v>
      </c>
      <c r="AV49">
        <v>1</v>
      </c>
      <c r="AW49">
        <v>1</v>
      </c>
      <c r="AZ49">
        <v>1</v>
      </c>
      <c r="BA49">
        <v>25.83</v>
      </c>
      <c r="BB49">
        <v>1</v>
      </c>
      <c r="BC49">
        <v>25.82</v>
      </c>
      <c r="BD49" t="s">
        <v>3</v>
      </c>
      <c r="BE49" t="s">
        <v>3</v>
      </c>
      <c r="BF49" t="s">
        <v>3</v>
      </c>
      <c r="BG49" t="s">
        <v>3</v>
      </c>
      <c r="BH49">
        <v>0</v>
      </c>
      <c r="BI49">
        <v>2</v>
      </c>
      <c r="BJ49" t="s">
        <v>130</v>
      </c>
      <c r="BM49">
        <v>108001</v>
      </c>
      <c r="BN49">
        <v>0</v>
      </c>
      <c r="BO49" t="s">
        <v>127</v>
      </c>
      <c r="BP49">
        <v>1</v>
      </c>
      <c r="BQ49">
        <v>3</v>
      </c>
      <c r="BR49">
        <v>0</v>
      </c>
      <c r="BS49">
        <v>25.83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95</v>
      </c>
      <c r="CA49">
        <v>65</v>
      </c>
      <c r="CF49">
        <v>0</v>
      </c>
      <c r="CG49">
        <v>0</v>
      </c>
      <c r="CM49">
        <v>0</v>
      </c>
      <c r="CN49" t="s">
        <v>472</v>
      </c>
      <c r="CO49">
        <v>0</v>
      </c>
      <c r="CP49">
        <f t="shared" si="41"/>
        <v>183.34</v>
      </c>
      <c r="CQ49">
        <f t="shared" si="42"/>
        <v>75.136200000000002</v>
      </c>
      <c r="CR49">
        <f t="shared" si="43"/>
        <v>0</v>
      </c>
      <c r="CS49">
        <f t="shared" si="44"/>
        <v>0</v>
      </c>
      <c r="CT49">
        <f t="shared" si="45"/>
        <v>4508.3681999999999</v>
      </c>
      <c r="CU49">
        <f t="shared" si="46"/>
        <v>0</v>
      </c>
      <c r="CV49">
        <f t="shared" si="47"/>
        <v>18.143999999999998</v>
      </c>
      <c r="CW49">
        <f t="shared" si="48"/>
        <v>0</v>
      </c>
      <c r="CX49">
        <f t="shared" si="49"/>
        <v>0</v>
      </c>
      <c r="CY49">
        <f t="shared" si="50"/>
        <v>146.06730000000002</v>
      </c>
      <c r="CZ49">
        <f t="shared" si="51"/>
        <v>93.771599999999992</v>
      </c>
      <c r="DC49" t="s">
        <v>3</v>
      </c>
      <c r="DD49" t="s">
        <v>3</v>
      </c>
      <c r="DE49" t="s">
        <v>40</v>
      </c>
      <c r="DF49" t="s">
        <v>40</v>
      </c>
      <c r="DG49" t="s">
        <v>40</v>
      </c>
      <c r="DH49" t="s">
        <v>3</v>
      </c>
      <c r="DI49" t="s">
        <v>40</v>
      </c>
      <c r="DJ49" t="s">
        <v>40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1013</v>
      </c>
      <c r="DV49" t="s">
        <v>129</v>
      </c>
      <c r="DW49" t="s">
        <v>129</v>
      </c>
      <c r="DX49">
        <v>1</v>
      </c>
      <c r="EE49">
        <v>31265967</v>
      </c>
      <c r="EF49">
        <v>3</v>
      </c>
      <c r="EG49" t="s">
        <v>75</v>
      </c>
      <c r="EH49">
        <v>0</v>
      </c>
      <c r="EI49" t="s">
        <v>3</v>
      </c>
      <c r="EJ49">
        <v>2</v>
      </c>
      <c r="EK49">
        <v>108001</v>
      </c>
      <c r="EL49" t="s">
        <v>76</v>
      </c>
      <c r="EM49" t="s">
        <v>77</v>
      </c>
      <c r="EO49" t="s">
        <v>44</v>
      </c>
      <c r="EQ49">
        <v>512</v>
      </c>
      <c r="ER49">
        <v>148.36000000000001</v>
      </c>
      <c r="ES49">
        <v>2.91</v>
      </c>
      <c r="ET49">
        <v>0</v>
      </c>
      <c r="EU49">
        <v>0</v>
      </c>
      <c r="EV49">
        <v>145.44999999999999</v>
      </c>
      <c r="EW49">
        <v>15.12</v>
      </c>
      <c r="EX49">
        <v>0</v>
      </c>
      <c r="EY49">
        <v>0</v>
      </c>
      <c r="FQ49">
        <v>0</v>
      </c>
      <c r="FR49">
        <f t="shared" si="21"/>
        <v>0</v>
      </c>
      <c r="FS49">
        <v>0</v>
      </c>
      <c r="FV49" t="s">
        <v>45</v>
      </c>
      <c r="FW49" t="s">
        <v>46</v>
      </c>
      <c r="FX49">
        <v>95</v>
      </c>
      <c r="FY49">
        <v>65</v>
      </c>
      <c r="GA49" t="s">
        <v>3</v>
      </c>
      <c r="GD49">
        <v>0</v>
      </c>
      <c r="GF49">
        <v>601222356</v>
      </c>
      <c r="GG49">
        <v>2</v>
      </c>
      <c r="GH49">
        <v>1</v>
      </c>
      <c r="GI49">
        <v>2</v>
      </c>
      <c r="GJ49">
        <v>0</v>
      </c>
      <c r="GK49">
        <f>ROUND(R49*(R12)/100,2)</f>
        <v>0</v>
      </c>
      <c r="GL49">
        <f t="shared" si="22"/>
        <v>0</v>
      </c>
      <c r="GM49">
        <f t="shared" si="52"/>
        <v>423.18</v>
      </c>
      <c r="GN49">
        <f t="shared" si="53"/>
        <v>0</v>
      </c>
      <c r="GO49">
        <f t="shared" si="54"/>
        <v>423.18</v>
      </c>
      <c r="GP49">
        <f t="shared" si="55"/>
        <v>0</v>
      </c>
      <c r="GR49">
        <v>0</v>
      </c>
      <c r="GS49">
        <v>3</v>
      </c>
      <c r="GT49">
        <v>0</v>
      </c>
      <c r="GU49" t="s">
        <v>3</v>
      </c>
      <c r="GV49">
        <f t="shared" si="56"/>
        <v>0</v>
      </c>
      <c r="GW49">
        <v>1</v>
      </c>
      <c r="GX49">
        <f t="shared" si="23"/>
        <v>0</v>
      </c>
      <c r="HA49">
        <v>0</v>
      </c>
      <c r="HB49">
        <v>0</v>
      </c>
      <c r="IK49">
        <v>0</v>
      </c>
    </row>
    <row r="50" spans="1:245" x14ac:dyDescent="0.2">
      <c r="A50">
        <v>17</v>
      </c>
      <c r="B50">
        <v>1</v>
      </c>
      <c r="C50">
        <f>ROW(SmtRes!A71)</f>
        <v>71</v>
      </c>
      <c r="D50">
        <f>ROW(EtalonRes!A65)</f>
        <v>65</v>
      </c>
      <c r="E50" t="s">
        <v>131</v>
      </c>
      <c r="F50" t="s">
        <v>100</v>
      </c>
      <c r="G50" t="s">
        <v>101</v>
      </c>
      <c r="H50" t="s">
        <v>38</v>
      </c>
      <c r="I50">
        <f>ROUND(11.62/100,9)</f>
        <v>0.1162</v>
      </c>
      <c r="J50">
        <v>0</v>
      </c>
      <c r="O50">
        <f t="shared" si="26"/>
        <v>2625.66</v>
      </c>
      <c r="P50">
        <f t="shared" si="27"/>
        <v>0</v>
      </c>
      <c r="Q50">
        <f t="shared" si="28"/>
        <v>0</v>
      </c>
      <c r="R50">
        <f t="shared" si="29"/>
        <v>0</v>
      </c>
      <c r="S50">
        <f t="shared" si="30"/>
        <v>2625.66</v>
      </c>
      <c r="T50">
        <f t="shared" si="31"/>
        <v>0</v>
      </c>
      <c r="U50">
        <f t="shared" si="32"/>
        <v>13.553568</v>
      </c>
      <c r="V50">
        <f t="shared" si="33"/>
        <v>0</v>
      </c>
      <c r="W50">
        <f t="shared" si="34"/>
        <v>0</v>
      </c>
      <c r="X50">
        <f t="shared" si="35"/>
        <v>1785.45</v>
      </c>
      <c r="Y50">
        <f t="shared" si="36"/>
        <v>945.24</v>
      </c>
      <c r="AA50">
        <v>35891596</v>
      </c>
      <c r="AB50">
        <f t="shared" si="37"/>
        <v>874.8</v>
      </c>
      <c r="AC50">
        <f t="shared" si="38"/>
        <v>0</v>
      </c>
      <c r="AD50">
        <f>ROUND(((((ET50*1.2))-((EU50*1.2)))+AE50),2)</f>
        <v>0</v>
      </c>
      <c r="AE50">
        <f t="shared" si="57"/>
        <v>0</v>
      </c>
      <c r="AF50">
        <f t="shared" si="57"/>
        <v>874.8</v>
      </c>
      <c r="AG50">
        <f t="shared" si="39"/>
        <v>0</v>
      </c>
      <c r="AH50">
        <f t="shared" si="58"/>
        <v>116.64</v>
      </c>
      <c r="AI50">
        <f t="shared" si="58"/>
        <v>0</v>
      </c>
      <c r="AJ50">
        <f t="shared" si="40"/>
        <v>0</v>
      </c>
      <c r="AK50">
        <v>729</v>
      </c>
      <c r="AL50">
        <v>0</v>
      </c>
      <c r="AM50">
        <v>0</v>
      </c>
      <c r="AN50">
        <v>0</v>
      </c>
      <c r="AO50">
        <v>729</v>
      </c>
      <c r="AP50">
        <v>0</v>
      </c>
      <c r="AQ50">
        <v>97.2</v>
      </c>
      <c r="AR50">
        <v>0</v>
      </c>
      <c r="AS50">
        <v>0</v>
      </c>
      <c r="AT50">
        <v>68</v>
      </c>
      <c r="AU50">
        <v>36</v>
      </c>
      <c r="AV50">
        <v>1</v>
      </c>
      <c r="AW50">
        <v>1</v>
      </c>
      <c r="AZ50">
        <v>1</v>
      </c>
      <c r="BA50">
        <v>25.83</v>
      </c>
      <c r="BB50">
        <v>1</v>
      </c>
      <c r="BC50">
        <v>1</v>
      </c>
      <c r="BD50" t="s">
        <v>3</v>
      </c>
      <c r="BE50" t="s">
        <v>3</v>
      </c>
      <c r="BF50" t="s">
        <v>3</v>
      </c>
      <c r="BG50" t="s">
        <v>3</v>
      </c>
      <c r="BH50">
        <v>0</v>
      </c>
      <c r="BI50">
        <v>1</v>
      </c>
      <c r="BJ50" t="s">
        <v>102</v>
      </c>
      <c r="BM50">
        <v>1003</v>
      </c>
      <c r="BN50">
        <v>0</v>
      </c>
      <c r="BO50" t="s">
        <v>100</v>
      </c>
      <c r="BP50">
        <v>1</v>
      </c>
      <c r="BQ50">
        <v>2</v>
      </c>
      <c r="BR50">
        <v>0</v>
      </c>
      <c r="BS50">
        <v>25.83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80</v>
      </c>
      <c r="CA50">
        <v>45</v>
      </c>
      <c r="CF50">
        <v>0</v>
      </c>
      <c r="CG50">
        <v>0</v>
      </c>
      <c r="CM50">
        <v>0</v>
      </c>
      <c r="CN50" t="s">
        <v>472</v>
      </c>
      <c r="CO50">
        <v>0</v>
      </c>
      <c r="CP50">
        <f t="shared" si="41"/>
        <v>2625.66</v>
      </c>
      <c r="CQ50">
        <f t="shared" si="42"/>
        <v>0</v>
      </c>
      <c r="CR50">
        <f t="shared" si="43"/>
        <v>0</v>
      </c>
      <c r="CS50">
        <f t="shared" si="44"/>
        <v>0</v>
      </c>
      <c r="CT50">
        <f t="shared" si="45"/>
        <v>22596.083999999999</v>
      </c>
      <c r="CU50">
        <f t="shared" si="46"/>
        <v>0</v>
      </c>
      <c r="CV50">
        <f t="shared" si="47"/>
        <v>116.64</v>
      </c>
      <c r="CW50">
        <f t="shared" si="48"/>
        <v>0</v>
      </c>
      <c r="CX50">
        <f t="shared" si="49"/>
        <v>0</v>
      </c>
      <c r="CY50">
        <f t="shared" si="50"/>
        <v>1785.4488000000001</v>
      </c>
      <c r="CZ50">
        <f t="shared" si="51"/>
        <v>945.23759999999993</v>
      </c>
      <c r="DC50" t="s">
        <v>3</v>
      </c>
      <c r="DD50" t="s">
        <v>3</v>
      </c>
      <c r="DE50" t="s">
        <v>40</v>
      </c>
      <c r="DF50" t="s">
        <v>40</v>
      </c>
      <c r="DG50" t="s">
        <v>40</v>
      </c>
      <c r="DH50" t="s">
        <v>3</v>
      </c>
      <c r="DI50" t="s">
        <v>40</v>
      </c>
      <c r="DJ50" t="s">
        <v>40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1007</v>
      </c>
      <c r="DV50" t="s">
        <v>38</v>
      </c>
      <c r="DW50" t="s">
        <v>38</v>
      </c>
      <c r="DX50">
        <v>100</v>
      </c>
      <c r="EE50">
        <v>31265815</v>
      </c>
      <c r="EF50">
        <v>2</v>
      </c>
      <c r="EG50" t="s">
        <v>41</v>
      </c>
      <c r="EH50">
        <v>0</v>
      </c>
      <c r="EI50" t="s">
        <v>3</v>
      </c>
      <c r="EJ50">
        <v>1</v>
      </c>
      <c r="EK50">
        <v>1003</v>
      </c>
      <c r="EL50" t="s">
        <v>68</v>
      </c>
      <c r="EM50" t="s">
        <v>69</v>
      </c>
      <c r="EO50" t="s">
        <v>44</v>
      </c>
      <c r="EQ50">
        <v>131584</v>
      </c>
      <c r="ER50">
        <v>729</v>
      </c>
      <c r="ES50">
        <v>0</v>
      </c>
      <c r="ET50">
        <v>0</v>
      </c>
      <c r="EU50">
        <v>0</v>
      </c>
      <c r="EV50">
        <v>729</v>
      </c>
      <c r="EW50">
        <v>97.2</v>
      </c>
      <c r="EX50">
        <v>0</v>
      </c>
      <c r="EY50">
        <v>0</v>
      </c>
      <c r="FQ50">
        <v>0</v>
      </c>
      <c r="FR50">
        <f t="shared" si="21"/>
        <v>0</v>
      </c>
      <c r="FS50">
        <v>0</v>
      </c>
      <c r="FV50" t="s">
        <v>45</v>
      </c>
      <c r="FW50" t="s">
        <v>46</v>
      </c>
      <c r="FX50">
        <v>80</v>
      </c>
      <c r="FY50">
        <v>45</v>
      </c>
      <c r="GA50" t="s">
        <v>3</v>
      </c>
      <c r="GD50">
        <v>0</v>
      </c>
      <c r="GF50">
        <v>-286385310</v>
      </c>
      <c r="GG50">
        <v>2</v>
      </c>
      <c r="GH50">
        <v>1</v>
      </c>
      <c r="GI50">
        <v>2</v>
      </c>
      <c r="GJ50">
        <v>0</v>
      </c>
      <c r="GK50">
        <f>ROUND(R50*(R12)/100,2)</f>
        <v>0</v>
      </c>
      <c r="GL50">
        <f t="shared" si="22"/>
        <v>0</v>
      </c>
      <c r="GM50">
        <f t="shared" si="52"/>
        <v>5356.35</v>
      </c>
      <c r="GN50">
        <f t="shared" si="53"/>
        <v>5356.35</v>
      </c>
      <c r="GO50">
        <f t="shared" si="54"/>
        <v>0</v>
      </c>
      <c r="GP50">
        <f t="shared" si="55"/>
        <v>0</v>
      </c>
      <c r="GR50">
        <v>0</v>
      </c>
      <c r="GS50">
        <v>3</v>
      </c>
      <c r="GT50">
        <v>0</v>
      </c>
      <c r="GU50" t="s">
        <v>3</v>
      </c>
      <c r="GV50">
        <f t="shared" si="56"/>
        <v>0</v>
      </c>
      <c r="GW50">
        <v>1</v>
      </c>
      <c r="GX50">
        <f t="shared" si="23"/>
        <v>0</v>
      </c>
      <c r="HA50">
        <v>0</v>
      </c>
      <c r="HB50">
        <v>0</v>
      </c>
      <c r="IK50">
        <v>0</v>
      </c>
    </row>
    <row r="51" spans="1:245" x14ac:dyDescent="0.2">
      <c r="A51">
        <v>17</v>
      </c>
      <c r="B51">
        <v>1</v>
      </c>
      <c r="C51">
        <f>ROW(SmtRes!A73)</f>
        <v>73</v>
      </c>
      <c r="D51">
        <f>ROW(EtalonRes!A67)</f>
        <v>67</v>
      </c>
      <c r="E51" t="s">
        <v>132</v>
      </c>
      <c r="F51" t="s">
        <v>133</v>
      </c>
      <c r="G51" t="s">
        <v>134</v>
      </c>
      <c r="H51" t="s">
        <v>135</v>
      </c>
      <c r="I51">
        <f>ROUND(25/100,9)</f>
        <v>0.25</v>
      </c>
      <c r="J51">
        <v>0</v>
      </c>
      <c r="O51">
        <f t="shared" si="26"/>
        <v>5320.01</v>
      </c>
      <c r="P51">
        <f t="shared" si="27"/>
        <v>2858.93</v>
      </c>
      <c r="Q51">
        <f t="shared" si="28"/>
        <v>0</v>
      </c>
      <c r="R51">
        <f t="shared" si="29"/>
        <v>0</v>
      </c>
      <c r="S51">
        <f t="shared" si="30"/>
        <v>2461.08</v>
      </c>
      <c r="T51">
        <f t="shared" si="31"/>
        <v>0</v>
      </c>
      <c r="U51">
        <f t="shared" si="32"/>
        <v>12</v>
      </c>
      <c r="V51">
        <f t="shared" si="33"/>
        <v>0</v>
      </c>
      <c r="W51">
        <f t="shared" si="34"/>
        <v>0</v>
      </c>
      <c r="X51">
        <f t="shared" si="35"/>
        <v>2411.86</v>
      </c>
      <c r="Y51">
        <f t="shared" si="36"/>
        <v>1771.98</v>
      </c>
      <c r="AA51">
        <v>35891596</v>
      </c>
      <c r="AB51">
        <f t="shared" si="37"/>
        <v>2359.62</v>
      </c>
      <c r="AC51">
        <f t="shared" si="38"/>
        <v>1978.5</v>
      </c>
      <c r="AD51">
        <f>ROUND(((((ET51*1.2))-((EU51*1.2)))+AE51),2)</f>
        <v>0</v>
      </c>
      <c r="AE51">
        <f t="shared" si="57"/>
        <v>0</v>
      </c>
      <c r="AF51">
        <f t="shared" si="57"/>
        <v>381.12</v>
      </c>
      <c r="AG51">
        <f t="shared" si="39"/>
        <v>0</v>
      </c>
      <c r="AH51">
        <f t="shared" si="58"/>
        <v>48</v>
      </c>
      <c r="AI51">
        <f t="shared" si="58"/>
        <v>0</v>
      </c>
      <c r="AJ51">
        <f t="shared" si="40"/>
        <v>0</v>
      </c>
      <c r="AK51">
        <v>2296.1</v>
      </c>
      <c r="AL51">
        <v>1978.5</v>
      </c>
      <c r="AM51">
        <v>0</v>
      </c>
      <c r="AN51">
        <v>0</v>
      </c>
      <c r="AO51">
        <v>317.60000000000002</v>
      </c>
      <c r="AP51">
        <v>0</v>
      </c>
      <c r="AQ51">
        <v>40</v>
      </c>
      <c r="AR51">
        <v>0</v>
      </c>
      <c r="AS51">
        <v>0</v>
      </c>
      <c r="AT51">
        <v>98</v>
      </c>
      <c r="AU51">
        <v>72</v>
      </c>
      <c r="AV51">
        <v>1</v>
      </c>
      <c r="AW51">
        <v>1</v>
      </c>
      <c r="AZ51">
        <v>1</v>
      </c>
      <c r="BA51">
        <v>25.83</v>
      </c>
      <c r="BB51">
        <v>1</v>
      </c>
      <c r="BC51">
        <v>5.78</v>
      </c>
      <c r="BD51" t="s">
        <v>3</v>
      </c>
      <c r="BE51" t="s">
        <v>3</v>
      </c>
      <c r="BF51" t="s">
        <v>3</v>
      </c>
      <c r="BG51" t="s">
        <v>3</v>
      </c>
      <c r="BH51">
        <v>0</v>
      </c>
      <c r="BI51">
        <v>1</v>
      </c>
      <c r="BJ51" t="s">
        <v>136</v>
      </c>
      <c r="BM51">
        <v>47001</v>
      </c>
      <c r="BN51">
        <v>0</v>
      </c>
      <c r="BO51" t="s">
        <v>133</v>
      </c>
      <c r="BP51">
        <v>1</v>
      </c>
      <c r="BQ51">
        <v>2</v>
      </c>
      <c r="BR51">
        <v>0</v>
      </c>
      <c r="BS51">
        <v>25.83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115</v>
      </c>
      <c r="CA51">
        <v>90</v>
      </c>
      <c r="CF51">
        <v>0</v>
      </c>
      <c r="CG51">
        <v>0</v>
      </c>
      <c r="CM51">
        <v>0</v>
      </c>
      <c r="CN51" t="s">
        <v>472</v>
      </c>
      <c r="CO51">
        <v>0</v>
      </c>
      <c r="CP51">
        <f t="shared" si="41"/>
        <v>5320.01</v>
      </c>
      <c r="CQ51">
        <f t="shared" si="42"/>
        <v>11435.730000000001</v>
      </c>
      <c r="CR51">
        <f t="shared" si="43"/>
        <v>0</v>
      </c>
      <c r="CS51">
        <f t="shared" si="44"/>
        <v>0</v>
      </c>
      <c r="CT51">
        <f t="shared" si="45"/>
        <v>9844.3295999999991</v>
      </c>
      <c r="CU51">
        <f t="shared" si="46"/>
        <v>0</v>
      </c>
      <c r="CV51">
        <f t="shared" si="47"/>
        <v>48</v>
      </c>
      <c r="CW51">
        <f t="shared" si="48"/>
        <v>0</v>
      </c>
      <c r="CX51">
        <f t="shared" si="49"/>
        <v>0</v>
      </c>
      <c r="CY51">
        <f t="shared" si="50"/>
        <v>2411.8584000000001</v>
      </c>
      <c r="CZ51">
        <f t="shared" si="51"/>
        <v>1771.9776000000002</v>
      </c>
      <c r="DC51" t="s">
        <v>3</v>
      </c>
      <c r="DD51" t="s">
        <v>3</v>
      </c>
      <c r="DE51" t="s">
        <v>40</v>
      </c>
      <c r="DF51" t="s">
        <v>40</v>
      </c>
      <c r="DG51" t="s">
        <v>40</v>
      </c>
      <c r="DH51" t="s">
        <v>3</v>
      </c>
      <c r="DI51" t="s">
        <v>40</v>
      </c>
      <c r="DJ51" t="s">
        <v>40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1005</v>
      </c>
      <c r="DV51" t="s">
        <v>135</v>
      </c>
      <c r="DW51" t="s">
        <v>135</v>
      </c>
      <c r="DX51">
        <v>100</v>
      </c>
      <c r="EE51">
        <v>31265909</v>
      </c>
      <c r="EF51">
        <v>2</v>
      </c>
      <c r="EG51" t="s">
        <v>41</v>
      </c>
      <c r="EH51">
        <v>0</v>
      </c>
      <c r="EI51" t="s">
        <v>3</v>
      </c>
      <c r="EJ51">
        <v>1</v>
      </c>
      <c r="EK51">
        <v>47001</v>
      </c>
      <c r="EL51" t="s">
        <v>137</v>
      </c>
      <c r="EM51" t="s">
        <v>138</v>
      </c>
      <c r="EO51" t="s">
        <v>44</v>
      </c>
      <c r="EQ51">
        <v>512</v>
      </c>
      <c r="ER51">
        <v>2296.1</v>
      </c>
      <c r="ES51">
        <v>1978.5</v>
      </c>
      <c r="ET51">
        <v>0</v>
      </c>
      <c r="EU51">
        <v>0</v>
      </c>
      <c r="EV51">
        <v>317.60000000000002</v>
      </c>
      <c r="EW51">
        <v>40</v>
      </c>
      <c r="EX51">
        <v>0</v>
      </c>
      <c r="EY51">
        <v>0</v>
      </c>
      <c r="FQ51">
        <v>0</v>
      </c>
      <c r="FR51">
        <f t="shared" si="21"/>
        <v>0</v>
      </c>
      <c r="FS51">
        <v>0</v>
      </c>
      <c r="FV51" t="s">
        <v>45</v>
      </c>
      <c r="FW51" t="s">
        <v>46</v>
      </c>
      <c r="FX51">
        <v>115</v>
      </c>
      <c r="FY51">
        <v>90</v>
      </c>
      <c r="GA51" t="s">
        <v>3</v>
      </c>
      <c r="GD51">
        <v>0</v>
      </c>
      <c r="GF51">
        <v>-1954285471</v>
      </c>
      <c r="GG51">
        <v>2</v>
      </c>
      <c r="GH51">
        <v>1</v>
      </c>
      <c r="GI51">
        <v>2</v>
      </c>
      <c r="GJ51">
        <v>0</v>
      </c>
      <c r="GK51">
        <f>ROUND(R51*(R12)/100,2)</f>
        <v>0</v>
      </c>
      <c r="GL51">
        <f t="shared" si="22"/>
        <v>0</v>
      </c>
      <c r="GM51">
        <f t="shared" si="52"/>
        <v>9503.85</v>
      </c>
      <c r="GN51">
        <f t="shared" si="53"/>
        <v>9503.85</v>
      </c>
      <c r="GO51">
        <f t="shared" si="54"/>
        <v>0</v>
      </c>
      <c r="GP51">
        <f t="shared" si="55"/>
        <v>0</v>
      </c>
      <c r="GR51">
        <v>0</v>
      </c>
      <c r="GS51">
        <v>3</v>
      </c>
      <c r="GT51">
        <v>0</v>
      </c>
      <c r="GU51" t="s">
        <v>3</v>
      </c>
      <c r="GV51">
        <f t="shared" si="56"/>
        <v>0</v>
      </c>
      <c r="GW51">
        <v>1</v>
      </c>
      <c r="GX51">
        <f t="shared" si="23"/>
        <v>0</v>
      </c>
      <c r="HA51">
        <v>0</v>
      </c>
      <c r="HB51">
        <v>0</v>
      </c>
      <c r="IK51">
        <v>0</v>
      </c>
    </row>
    <row r="52" spans="1:245" x14ac:dyDescent="0.2">
      <c r="A52">
        <v>17</v>
      </c>
      <c r="B52">
        <v>1</v>
      </c>
      <c r="C52">
        <f>ROW(SmtRes!A78)</f>
        <v>78</v>
      </c>
      <c r="D52">
        <f>ROW(EtalonRes!A72)</f>
        <v>72</v>
      </c>
      <c r="E52" t="s">
        <v>139</v>
      </c>
      <c r="F52" t="s">
        <v>140</v>
      </c>
      <c r="G52" t="s">
        <v>141</v>
      </c>
      <c r="H52" t="s">
        <v>135</v>
      </c>
      <c r="I52">
        <f>ROUND(25/100,9)</f>
        <v>0.25</v>
      </c>
      <c r="J52">
        <v>0</v>
      </c>
      <c r="O52">
        <f t="shared" si="26"/>
        <v>1039.28</v>
      </c>
      <c r="P52">
        <f t="shared" si="27"/>
        <v>42.52</v>
      </c>
      <c r="Q52">
        <f t="shared" si="28"/>
        <v>604.01</v>
      </c>
      <c r="R52">
        <f t="shared" si="29"/>
        <v>246.29</v>
      </c>
      <c r="S52">
        <f t="shared" si="30"/>
        <v>392.75</v>
      </c>
      <c r="T52">
        <f t="shared" si="31"/>
        <v>0</v>
      </c>
      <c r="U52">
        <f t="shared" si="32"/>
        <v>1.7969999999999999</v>
      </c>
      <c r="V52">
        <f t="shared" si="33"/>
        <v>0.82200000000000006</v>
      </c>
      <c r="W52">
        <f t="shared" si="34"/>
        <v>0</v>
      </c>
      <c r="X52">
        <f t="shared" si="35"/>
        <v>626.26</v>
      </c>
      <c r="Y52">
        <f t="shared" si="36"/>
        <v>460.11</v>
      </c>
      <c r="AA52">
        <v>35891596</v>
      </c>
      <c r="AB52">
        <f t="shared" si="37"/>
        <v>446.9</v>
      </c>
      <c r="AC52">
        <f t="shared" si="38"/>
        <v>24.4</v>
      </c>
      <c r="AD52">
        <f>ROUND(((((ET52*1.2))-((EU52*1.2)))+AE52),2)</f>
        <v>361.68</v>
      </c>
      <c r="AE52">
        <f t="shared" si="57"/>
        <v>38.14</v>
      </c>
      <c r="AF52">
        <f t="shared" si="57"/>
        <v>60.82</v>
      </c>
      <c r="AG52">
        <f t="shared" si="39"/>
        <v>0</v>
      </c>
      <c r="AH52">
        <f t="shared" si="58"/>
        <v>7.1879999999999997</v>
      </c>
      <c r="AI52">
        <f t="shared" si="58"/>
        <v>3.2880000000000003</v>
      </c>
      <c r="AJ52">
        <f t="shared" si="40"/>
        <v>0</v>
      </c>
      <c r="AK52">
        <v>376.48</v>
      </c>
      <c r="AL52">
        <v>24.4</v>
      </c>
      <c r="AM52">
        <v>301.39999999999998</v>
      </c>
      <c r="AN52">
        <v>31.78</v>
      </c>
      <c r="AO52">
        <v>50.68</v>
      </c>
      <c r="AP52">
        <v>0</v>
      </c>
      <c r="AQ52">
        <v>5.99</v>
      </c>
      <c r="AR52">
        <v>2.74</v>
      </c>
      <c r="AS52">
        <v>0</v>
      </c>
      <c r="AT52">
        <v>98</v>
      </c>
      <c r="AU52">
        <v>72</v>
      </c>
      <c r="AV52">
        <v>1</v>
      </c>
      <c r="AW52">
        <v>1</v>
      </c>
      <c r="AZ52">
        <v>1</v>
      </c>
      <c r="BA52">
        <v>25.83</v>
      </c>
      <c r="BB52">
        <v>6.68</v>
      </c>
      <c r="BC52">
        <v>6.97</v>
      </c>
      <c r="BD52" t="s">
        <v>3</v>
      </c>
      <c r="BE52" t="s">
        <v>3</v>
      </c>
      <c r="BF52" t="s">
        <v>3</v>
      </c>
      <c r="BG52" t="s">
        <v>3</v>
      </c>
      <c r="BH52">
        <v>0</v>
      </c>
      <c r="BI52">
        <v>1</v>
      </c>
      <c r="BJ52" t="s">
        <v>142</v>
      </c>
      <c r="BM52">
        <v>47001</v>
      </c>
      <c r="BN52">
        <v>0</v>
      </c>
      <c r="BO52" t="s">
        <v>140</v>
      </c>
      <c r="BP52">
        <v>1</v>
      </c>
      <c r="BQ52">
        <v>2</v>
      </c>
      <c r="BR52">
        <v>0</v>
      </c>
      <c r="BS52">
        <v>25.83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115</v>
      </c>
      <c r="CA52">
        <v>90</v>
      </c>
      <c r="CF52">
        <v>0</v>
      </c>
      <c r="CG52">
        <v>0</v>
      </c>
      <c r="CM52">
        <v>0</v>
      </c>
      <c r="CN52" t="s">
        <v>472</v>
      </c>
      <c r="CO52">
        <v>0</v>
      </c>
      <c r="CP52">
        <f t="shared" si="41"/>
        <v>1039.28</v>
      </c>
      <c r="CQ52">
        <f t="shared" si="42"/>
        <v>170.06799999999998</v>
      </c>
      <c r="CR52">
        <f t="shared" si="43"/>
        <v>2416.0223999999998</v>
      </c>
      <c r="CS52">
        <f t="shared" si="44"/>
        <v>985.1561999999999</v>
      </c>
      <c r="CT52">
        <f t="shared" si="45"/>
        <v>1570.9805999999999</v>
      </c>
      <c r="CU52">
        <f t="shared" si="46"/>
        <v>0</v>
      </c>
      <c r="CV52">
        <f t="shared" si="47"/>
        <v>7.1879999999999997</v>
      </c>
      <c r="CW52">
        <f t="shared" si="48"/>
        <v>3.2880000000000003</v>
      </c>
      <c r="CX52">
        <f t="shared" si="49"/>
        <v>0</v>
      </c>
      <c r="CY52">
        <f t="shared" si="50"/>
        <v>626.25919999999996</v>
      </c>
      <c r="CZ52">
        <f t="shared" si="51"/>
        <v>460.10879999999997</v>
      </c>
      <c r="DC52" t="s">
        <v>3</v>
      </c>
      <c r="DD52" t="s">
        <v>3</v>
      </c>
      <c r="DE52" t="s">
        <v>40</v>
      </c>
      <c r="DF52" t="s">
        <v>40</v>
      </c>
      <c r="DG52" t="s">
        <v>40</v>
      </c>
      <c r="DH52" t="s">
        <v>3</v>
      </c>
      <c r="DI52" t="s">
        <v>40</v>
      </c>
      <c r="DJ52" t="s">
        <v>40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1005</v>
      </c>
      <c r="DV52" t="s">
        <v>135</v>
      </c>
      <c r="DW52" t="s">
        <v>135</v>
      </c>
      <c r="DX52">
        <v>100</v>
      </c>
      <c r="EE52">
        <v>31265909</v>
      </c>
      <c r="EF52">
        <v>2</v>
      </c>
      <c r="EG52" t="s">
        <v>41</v>
      </c>
      <c r="EH52">
        <v>0</v>
      </c>
      <c r="EI52" t="s">
        <v>3</v>
      </c>
      <c r="EJ52">
        <v>1</v>
      </c>
      <c r="EK52">
        <v>47001</v>
      </c>
      <c r="EL52" t="s">
        <v>137</v>
      </c>
      <c r="EM52" t="s">
        <v>138</v>
      </c>
      <c r="EO52" t="s">
        <v>44</v>
      </c>
      <c r="EQ52">
        <v>512</v>
      </c>
      <c r="ER52">
        <v>376.48</v>
      </c>
      <c r="ES52">
        <v>24.4</v>
      </c>
      <c r="ET52">
        <v>301.39999999999998</v>
      </c>
      <c r="EU52">
        <v>31.78</v>
      </c>
      <c r="EV52">
        <v>50.68</v>
      </c>
      <c r="EW52">
        <v>5.99</v>
      </c>
      <c r="EX52">
        <v>2.74</v>
      </c>
      <c r="EY52">
        <v>0</v>
      </c>
      <c r="FQ52">
        <v>0</v>
      </c>
      <c r="FR52">
        <f t="shared" si="21"/>
        <v>0</v>
      </c>
      <c r="FS52">
        <v>0</v>
      </c>
      <c r="FV52" t="s">
        <v>45</v>
      </c>
      <c r="FW52" t="s">
        <v>46</v>
      </c>
      <c r="FX52">
        <v>115</v>
      </c>
      <c r="FY52">
        <v>90</v>
      </c>
      <c r="GA52" t="s">
        <v>3</v>
      </c>
      <c r="GD52">
        <v>0</v>
      </c>
      <c r="GF52">
        <v>-1126125750</v>
      </c>
      <c r="GG52">
        <v>2</v>
      </c>
      <c r="GH52">
        <v>1</v>
      </c>
      <c r="GI52">
        <v>2</v>
      </c>
      <c r="GJ52">
        <v>0</v>
      </c>
      <c r="GK52">
        <f>ROUND(R52*(R12)/100,2)</f>
        <v>0</v>
      </c>
      <c r="GL52">
        <f t="shared" si="22"/>
        <v>0</v>
      </c>
      <c r="GM52">
        <f t="shared" si="52"/>
        <v>2125.65</v>
      </c>
      <c r="GN52">
        <f t="shared" si="53"/>
        <v>2125.65</v>
      </c>
      <c r="GO52">
        <f t="shared" si="54"/>
        <v>0</v>
      </c>
      <c r="GP52">
        <f t="shared" si="55"/>
        <v>0</v>
      </c>
      <c r="GR52">
        <v>0</v>
      </c>
      <c r="GS52">
        <v>3</v>
      </c>
      <c r="GT52">
        <v>0</v>
      </c>
      <c r="GU52" t="s">
        <v>3</v>
      </c>
      <c r="GV52">
        <f t="shared" si="56"/>
        <v>0</v>
      </c>
      <c r="GW52">
        <v>1</v>
      </c>
      <c r="GX52">
        <f t="shared" si="23"/>
        <v>0</v>
      </c>
      <c r="HA52">
        <v>0</v>
      </c>
      <c r="HB52">
        <v>0</v>
      </c>
      <c r="IK52">
        <v>0</v>
      </c>
    </row>
    <row r="53" spans="1:245" x14ac:dyDescent="0.2">
      <c r="A53">
        <v>18</v>
      </c>
      <c r="B53">
        <v>1</v>
      </c>
      <c r="C53">
        <v>78</v>
      </c>
      <c r="E53" t="s">
        <v>143</v>
      </c>
      <c r="F53" t="s">
        <v>144</v>
      </c>
      <c r="G53" t="s">
        <v>145</v>
      </c>
      <c r="H53" t="s">
        <v>146</v>
      </c>
      <c r="I53">
        <f>I52*J53</f>
        <v>0.5</v>
      </c>
      <c r="J53">
        <v>2</v>
      </c>
      <c r="O53">
        <f t="shared" si="26"/>
        <v>67.28</v>
      </c>
      <c r="P53">
        <f t="shared" si="27"/>
        <v>67.28</v>
      </c>
      <c r="Q53">
        <f t="shared" si="28"/>
        <v>0</v>
      </c>
      <c r="R53">
        <f t="shared" si="29"/>
        <v>0</v>
      </c>
      <c r="S53">
        <f t="shared" si="30"/>
        <v>0</v>
      </c>
      <c r="T53">
        <f t="shared" si="31"/>
        <v>0</v>
      </c>
      <c r="U53">
        <f t="shared" si="32"/>
        <v>0</v>
      </c>
      <c r="V53">
        <f t="shared" si="33"/>
        <v>0</v>
      </c>
      <c r="W53">
        <f t="shared" si="34"/>
        <v>0</v>
      </c>
      <c r="X53">
        <f t="shared" si="35"/>
        <v>0</v>
      </c>
      <c r="Y53">
        <f t="shared" si="36"/>
        <v>0</v>
      </c>
      <c r="AA53">
        <v>35891596</v>
      </c>
      <c r="AB53">
        <f t="shared" si="37"/>
        <v>146.25</v>
      </c>
      <c r="AC53">
        <f t="shared" si="38"/>
        <v>146.25</v>
      </c>
      <c r="AD53">
        <f>ROUND((((ET53)-(EU53))+AE53),2)</f>
        <v>0</v>
      </c>
      <c r="AE53">
        <f>ROUND((EU53),2)</f>
        <v>0</v>
      </c>
      <c r="AF53">
        <f>ROUND((EV53),2)</f>
        <v>0</v>
      </c>
      <c r="AG53">
        <f t="shared" si="39"/>
        <v>0</v>
      </c>
      <c r="AH53">
        <f>(EW53)</f>
        <v>0</v>
      </c>
      <c r="AI53">
        <f>(EX53)</f>
        <v>0</v>
      </c>
      <c r="AJ53">
        <f t="shared" si="40"/>
        <v>0</v>
      </c>
      <c r="AK53">
        <v>146.25</v>
      </c>
      <c r="AL53">
        <v>146.25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98</v>
      </c>
      <c r="AU53">
        <v>72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0.92</v>
      </c>
      <c r="BD53" t="s">
        <v>3</v>
      </c>
      <c r="BE53" t="s">
        <v>3</v>
      </c>
      <c r="BF53" t="s">
        <v>3</v>
      </c>
      <c r="BG53" t="s">
        <v>3</v>
      </c>
      <c r="BH53">
        <v>3</v>
      </c>
      <c r="BI53">
        <v>1</v>
      </c>
      <c r="BJ53" t="s">
        <v>147</v>
      </c>
      <c r="BM53">
        <v>47001</v>
      </c>
      <c r="BN53">
        <v>0</v>
      </c>
      <c r="BO53" t="s">
        <v>144</v>
      </c>
      <c r="BP53">
        <v>1</v>
      </c>
      <c r="BQ53">
        <v>2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115</v>
      </c>
      <c r="CA53">
        <v>90</v>
      </c>
      <c r="CF53">
        <v>0</v>
      </c>
      <c r="CG53">
        <v>0</v>
      </c>
      <c r="CM53">
        <v>0</v>
      </c>
      <c r="CN53" t="s">
        <v>3</v>
      </c>
      <c r="CO53">
        <v>0</v>
      </c>
      <c r="CP53">
        <f t="shared" si="41"/>
        <v>67.28</v>
      </c>
      <c r="CQ53">
        <f t="shared" si="42"/>
        <v>134.55000000000001</v>
      </c>
      <c r="CR53">
        <f t="shared" si="43"/>
        <v>0</v>
      </c>
      <c r="CS53">
        <f t="shared" si="44"/>
        <v>0</v>
      </c>
      <c r="CT53">
        <f t="shared" si="45"/>
        <v>0</v>
      </c>
      <c r="CU53">
        <f t="shared" si="46"/>
        <v>0</v>
      </c>
      <c r="CV53">
        <f t="shared" si="47"/>
        <v>0</v>
      </c>
      <c r="CW53">
        <f t="shared" si="48"/>
        <v>0</v>
      </c>
      <c r="CX53">
        <f t="shared" si="49"/>
        <v>0</v>
      </c>
      <c r="CY53">
        <f t="shared" si="50"/>
        <v>0</v>
      </c>
      <c r="CZ53">
        <f t="shared" si="51"/>
        <v>0</v>
      </c>
      <c r="DC53" t="s">
        <v>3</v>
      </c>
      <c r="DD53" t="s">
        <v>3</v>
      </c>
      <c r="DE53" t="s">
        <v>3</v>
      </c>
      <c r="DF53" t="s">
        <v>3</v>
      </c>
      <c r="DG53" t="s">
        <v>3</v>
      </c>
      <c r="DH53" t="s">
        <v>3</v>
      </c>
      <c r="DI53" t="s">
        <v>3</v>
      </c>
      <c r="DJ53" t="s">
        <v>3</v>
      </c>
      <c r="DK53" t="s">
        <v>3</v>
      </c>
      <c r="DL53" t="s">
        <v>3</v>
      </c>
      <c r="DM53" t="s">
        <v>3</v>
      </c>
      <c r="DN53">
        <v>0</v>
      </c>
      <c r="DO53">
        <v>0</v>
      </c>
      <c r="DP53">
        <v>1</v>
      </c>
      <c r="DQ53">
        <v>1</v>
      </c>
      <c r="DU53">
        <v>1009</v>
      </c>
      <c r="DV53" t="s">
        <v>146</v>
      </c>
      <c r="DW53" t="s">
        <v>146</v>
      </c>
      <c r="DX53">
        <v>1</v>
      </c>
      <c r="EE53">
        <v>31265909</v>
      </c>
      <c r="EF53">
        <v>2</v>
      </c>
      <c r="EG53" t="s">
        <v>41</v>
      </c>
      <c r="EH53">
        <v>0</v>
      </c>
      <c r="EI53" t="s">
        <v>3</v>
      </c>
      <c r="EJ53">
        <v>1</v>
      </c>
      <c r="EK53">
        <v>47001</v>
      </c>
      <c r="EL53" t="s">
        <v>137</v>
      </c>
      <c r="EM53" t="s">
        <v>138</v>
      </c>
      <c r="EO53" t="s">
        <v>3</v>
      </c>
      <c r="EQ53">
        <v>0</v>
      </c>
      <c r="ER53">
        <v>146.25</v>
      </c>
      <c r="ES53">
        <v>146.25</v>
      </c>
      <c r="ET53">
        <v>0</v>
      </c>
      <c r="EU53">
        <v>0</v>
      </c>
      <c r="EV53">
        <v>0</v>
      </c>
      <c r="EW53">
        <v>0</v>
      </c>
      <c r="EX53">
        <v>0</v>
      </c>
      <c r="FQ53">
        <v>0</v>
      </c>
      <c r="FR53">
        <f t="shared" si="21"/>
        <v>0</v>
      </c>
      <c r="FS53">
        <v>0</v>
      </c>
      <c r="FV53" t="s">
        <v>45</v>
      </c>
      <c r="FW53" t="s">
        <v>46</v>
      </c>
      <c r="FX53">
        <v>115</v>
      </c>
      <c r="FY53">
        <v>90</v>
      </c>
      <c r="GA53" t="s">
        <v>3</v>
      </c>
      <c r="GD53">
        <v>0</v>
      </c>
      <c r="GF53">
        <v>-1440369693</v>
      </c>
      <c r="GG53">
        <v>2</v>
      </c>
      <c r="GH53">
        <v>1</v>
      </c>
      <c r="GI53">
        <v>2</v>
      </c>
      <c r="GJ53">
        <v>0</v>
      </c>
      <c r="GK53">
        <f>ROUND(R53*(R12)/100,2)</f>
        <v>0</v>
      </c>
      <c r="GL53">
        <f t="shared" si="22"/>
        <v>0</v>
      </c>
      <c r="GM53">
        <f t="shared" si="52"/>
        <v>67.28</v>
      </c>
      <c r="GN53">
        <f t="shared" si="53"/>
        <v>67.28</v>
      </c>
      <c r="GO53">
        <f t="shared" si="54"/>
        <v>0</v>
      </c>
      <c r="GP53">
        <f t="shared" si="55"/>
        <v>0</v>
      </c>
      <c r="GR53">
        <v>0</v>
      </c>
      <c r="GS53">
        <v>3</v>
      </c>
      <c r="GT53">
        <v>0</v>
      </c>
      <c r="GU53" t="s">
        <v>3</v>
      </c>
      <c r="GV53">
        <f t="shared" si="56"/>
        <v>0</v>
      </c>
      <c r="GW53">
        <v>1</v>
      </c>
      <c r="GX53">
        <f t="shared" si="23"/>
        <v>0</v>
      </c>
      <c r="HA53">
        <v>0</v>
      </c>
      <c r="HB53">
        <v>0</v>
      </c>
      <c r="IK53">
        <v>0</v>
      </c>
    </row>
    <row r="54" spans="1:245" x14ac:dyDescent="0.2">
      <c r="A54">
        <v>17</v>
      </c>
      <c r="B54">
        <v>1</v>
      </c>
      <c r="E54" t="s">
        <v>148</v>
      </c>
      <c r="F54" t="s">
        <v>149</v>
      </c>
      <c r="G54" t="s">
        <v>150</v>
      </c>
      <c r="H54" t="s">
        <v>23</v>
      </c>
      <c r="I54">
        <v>7.67</v>
      </c>
      <c r="J54">
        <v>0</v>
      </c>
      <c r="O54">
        <f>0</f>
        <v>0</v>
      </c>
      <c r="P54">
        <f>0</f>
        <v>0</v>
      </c>
      <c r="Q54">
        <f>0</f>
        <v>0</v>
      </c>
      <c r="R54">
        <f>0</f>
        <v>0</v>
      </c>
      <c r="S54">
        <f>0</f>
        <v>0</v>
      </c>
      <c r="T54">
        <f>0</f>
        <v>0</v>
      </c>
      <c r="U54">
        <f>0</f>
        <v>0</v>
      </c>
      <c r="V54">
        <f>0</f>
        <v>0</v>
      </c>
      <c r="W54">
        <f>0</f>
        <v>0</v>
      </c>
      <c r="X54">
        <f>0</f>
        <v>0</v>
      </c>
      <c r="Y54">
        <f>0</f>
        <v>0</v>
      </c>
      <c r="AA54">
        <v>35891596</v>
      </c>
      <c r="AB54">
        <f>ROUND((AK54),2)</f>
        <v>3.96</v>
      </c>
      <c r="AC54">
        <f>0</f>
        <v>0</v>
      </c>
      <c r="AD54">
        <f>0</f>
        <v>0</v>
      </c>
      <c r="AE54">
        <f>0</f>
        <v>0</v>
      </c>
      <c r="AF54">
        <f>0</f>
        <v>0</v>
      </c>
      <c r="AG54">
        <f>0</f>
        <v>0</v>
      </c>
      <c r="AH54">
        <f>0</f>
        <v>0</v>
      </c>
      <c r="AI54">
        <f>0</f>
        <v>0</v>
      </c>
      <c r="AJ54">
        <f>0</f>
        <v>0</v>
      </c>
      <c r="AK54">
        <v>3.96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1</v>
      </c>
      <c r="AW54">
        <v>1</v>
      </c>
      <c r="AZ54">
        <v>10.91</v>
      </c>
      <c r="BA54">
        <v>1</v>
      </c>
      <c r="BB54">
        <v>1</v>
      </c>
      <c r="BC54">
        <v>1</v>
      </c>
      <c r="BD54" t="s">
        <v>3</v>
      </c>
      <c r="BE54" t="s">
        <v>3</v>
      </c>
      <c r="BF54" t="s">
        <v>3</v>
      </c>
      <c r="BG54" t="s">
        <v>3</v>
      </c>
      <c r="BH54">
        <v>0</v>
      </c>
      <c r="BI54">
        <v>1</v>
      </c>
      <c r="BJ54" t="s">
        <v>151</v>
      </c>
      <c r="BM54">
        <v>700004</v>
      </c>
      <c r="BN54">
        <v>0</v>
      </c>
      <c r="BO54" t="s">
        <v>149</v>
      </c>
      <c r="BP54">
        <v>1</v>
      </c>
      <c r="BQ54">
        <v>19</v>
      </c>
      <c r="BR54">
        <v>0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0</v>
      </c>
      <c r="CA54">
        <v>0</v>
      </c>
      <c r="CF54">
        <v>0</v>
      </c>
      <c r="CG54">
        <v>0</v>
      </c>
      <c r="CM54">
        <v>0</v>
      </c>
      <c r="CN54" t="s">
        <v>3</v>
      </c>
      <c r="CO54">
        <v>0</v>
      </c>
      <c r="CP54">
        <f>AB54*AZ54</f>
        <v>43.203600000000002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C54" t="s">
        <v>3</v>
      </c>
      <c r="DD54" t="s">
        <v>3</v>
      </c>
      <c r="DE54" t="s">
        <v>3</v>
      </c>
      <c r="DF54" t="s">
        <v>3</v>
      </c>
      <c r="DG54" t="s">
        <v>3</v>
      </c>
      <c r="DH54" t="s">
        <v>3</v>
      </c>
      <c r="DI54" t="s">
        <v>3</v>
      </c>
      <c r="DJ54" t="s">
        <v>3</v>
      </c>
      <c r="DK54" t="s">
        <v>3</v>
      </c>
      <c r="DL54" t="s">
        <v>3</v>
      </c>
      <c r="DM54" t="s">
        <v>3</v>
      </c>
      <c r="DN54">
        <v>0</v>
      </c>
      <c r="DO54">
        <v>0</v>
      </c>
      <c r="DP54">
        <v>1</v>
      </c>
      <c r="DQ54">
        <v>1</v>
      </c>
      <c r="DU54">
        <v>1013</v>
      </c>
      <c r="DV54" t="s">
        <v>23</v>
      </c>
      <c r="DW54" t="s">
        <v>23</v>
      </c>
      <c r="DX54">
        <v>1</v>
      </c>
      <c r="EE54">
        <v>31266032</v>
      </c>
      <c r="EF54">
        <v>19</v>
      </c>
      <c r="EG54" t="s">
        <v>25</v>
      </c>
      <c r="EH54">
        <v>0</v>
      </c>
      <c r="EI54" t="s">
        <v>3</v>
      </c>
      <c r="EJ54">
        <v>1</v>
      </c>
      <c r="EK54">
        <v>700004</v>
      </c>
      <c r="EL54" t="s">
        <v>26</v>
      </c>
      <c r="EM54" t="s">
        <v>27</v>
      </c>
      <c r="EO54" t="s">
        <v>3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FQ54">
        <v>0</v>
      </c>
      <c r="FR54">
        <f t="shared" si="21"/>
        <v>0</v>
      </c>
      <c r="FS54">
        <v>0</v>
      </c>
      <c r="FX54">
        <v>0</v>
      </c>
      <c r="FY54">
        <v>0</v>
      </c>
      <c r="GA54" t="s">
        <v>3</v>
      </c>
      <c r="GD54">
        <v>0</v>
      </c>
      <c r="GF54">
        <v>27595955</v>
      </c>
      <c r="GG54">
        <v>2</v>
      </c>
      <c r="GH54">
        <v>1</v>
      </c>
      <c r="GI54">
        <v>2</v>
      </c>
      <c r="GJ54">
        <v>2</v>
      </c>
      <c r="GK54">
        <f>ROUND(R54*(R12)/100,2)</f>
        <v>0</v>
      </c>
      <c r="GL54">
        <f t="shared" si="22"/>
        <v>0</v>
      </c>
      <c r="GM54">
        <f>ROUND(CP54*I54,2)</f>
        <v>331.37</v>
      </c>
      <c r="GN54">
        <f>IF(OR(BI54=0,BI54=1),ROUND(CP54*I54,2),0)</f>
        <v>331.37</v>
      </c>
      <c r="GO54">
        <f>IF(BI54=2,ROUND(CP54*I54,2),0)</f>
        <v>0</v>
      </c>
      <c r="GP54">
        <f>IF(BI54=4,ROUND(CP54*I54,2)+GX54,0)</f>
        <v>0</v>
      </c>
      <c r="GR54">
        <v>0</v>
      </c>
      <c r="GS54">
        <v>0</v>
      </c>
      <c r="GU54" t="s">
        <v>3</v>
      </c>
      <c r="GV54">
        <f>0</f>
        <v>0</v>
      </c>
      <c r="GW54">
        <v>1</v>
      </c>
      <c r="GX54">
        <f t="shared" si="23"/>
        <v>0</v>
      </c>
      <c r="GY54">
        <v>0</v>
      </c>
      <c r="GZ54">
        <v>0</v>
      </c>
      <c r="HA54">
        <v>0</v>
      </c>
      <c r="HB54">
        <v>0</v>
      </c>
      <c r="IK54">
        <v>0</v>
      </c>
    </row>
    <row r="55" spans="1:245" x14ac:dyDescent="0.2">
      <c r="A55">
        <v>17</v>
      </c>
      <c r="B55">
        <v>1</v>
      </c>
      <c r="E55" t="s">
        <v>152</v>
      </c>
      <c r="F55" t="s">
        <v>153</v>
      </c>
      <c r="G55" t="s">
        <v>154</v>
      </c>
      <c r="H55" t="s">
        <v>23</v>
      </c>
      <c r="I55">
        <v>7.67</v>
      </c>
      <c r="J55">
        <v>0</v>
      </c>
      <c r="O55">
        <f>0</f>
        <v>0</v>
      </c>
      <c r="P55">
        <f>0</f>
        <v>0</v>
      </c>
      <c r="Q55">
        <f>0</f>
        <v>0</v>
      </c>
      <c r="R55">
        <f>0</f>
        <v>0</v>
      </c>
      <c r="S55">
        <f>0</f>
        <v>0</v>
      </c>
      <c r="T55">
        <f>0</f>
        <v>0</v>
      </c>
      <c r="U55">
        <f>0</f>
        <v>0</v>
      </c>
      <c r="V55">
        <f>0</f>
        <v>0</v>
      </c>
      <c r="W55">
        <f>0</f>
        <v>0</v>
      </c>
      <c r="X55">
        <f>0</f>
        <v>0</v>
      </c>
      <c r="Y55">
        <f>0</f>
        <v>0</v>
      </c>
      <c r="AA55">
        <v>35891596</v>
      </c>
      <c r="AB55">
        <f>ROUND((AK55),2)</f>
        <v>29.92</v>
      </c>
      <c r="AC55">
        <f>0</f>
        <v>0</v>
      </c>
      <c r="AD55">
        <f>0</f>
        <v>0</v>
      </c>
      <c r="AE55">
        <f>0</f>
        <v>0</v>
      </c>
      <c r="AF55">
        <f>0</f>
        <v>0</v>
      </c>
      <c r="AG55">
        <f>0</f>
        <v>0</v>
      </c>
      <c r="AH55">
        <f>0</f>
        <v>0</v>
      </c>
      <c r="AI55">
        <f>0</f>
        <v>0</v>
      </c>
      <c r="AJ55">
        <f>0</f>
        <v>0</v>
      </c>
      <c r="AK55">
        <v>29.92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1</v>
      </c>
      <c r="AW55">
        <v>1</v>
      </c>
      <c r="AZ55">
        <v>7.72</v>
      </c>
      <c r="BA55">
        <v>1</v>
      </c>
      <c r="BB55">
        <v>1</v>
      </c>
      <c r="BC55">
        <v>1</v>
      </c>
      <c r="BD55" t="s">
        <v>3</v>
      </c>
      <c r="BE55" t="s">
        <v>3</v>
      </c>
      <c r="BF55" t="s">
        <v>3</v>
      </c>
      <c r="BG55" t="s">
        <v>3</v>
      </c>
      <c r="BH55">
        <v>0</v>
      </c>
      <c r="BI55">
        <v>1</v>
      </c>
      <c r="BJ55" t="s">
        <v>155</v>
      </c>
      <c r="BM55">
        <v>700005</v>
      </c>
      <c r="BN55">
        <v>0</v>
      </c>
      <c r="BO55" t="s">
        <v>153</v>
      </c>
      <c r="BP55">
        <v>1</v>
      </c>
      <c r="BQ55">
        <v>10</v>
      </c>
      <c r="BR55">
        <v>0</v>
      </c>
      <c r="BS55">
        <v>1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3</v>
      </c>
      <c r="BZ55">
        <v>0</v>
      </c>
      <c r="CA55">
        <v>0</v>
      </c>
      <c r="CF55">
        <v>0</v>
      </c>
      <c r="CG55">
        <v>0</v>
      </c>
      <c r="CM55">
        <v>0</v>
      </c>
      <c r="CN55" t="s">
        <v>3</v>
      </c>
      <c r="CO55">
        <v>0</v>
      </c>
      <c r="CP55">
        <f>AB55*AZ55</f>
        <v>230.98240000000001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C55" t="s">
        <v>3</v>
      </c>
      <c r="DD55" t="s">
        <v>3</v>
      </c>
      <c r="DE55" t="s">
        <v>3</v>
      </c>
      <c r="DF55" t="s">
        <v>3</v>
      </c>
      <c r="DG55" t="s">
        <v>3</v>
      </c>
      <c r="DH55" t="s">
        <v>3</v>
      </c>
      <c r="DI55" t="s">
        <v>3</v>
      </c>
      <c r="DJ55" t="s">
        <v>3</v>
      </c>
      <c r="DK55" t="s">
        <v>3</v>
      </c>
      <c r="DL55" t="s">
        <v>3</v>
      </c>
      <c r="DM55" t="s">
        <v>3</v>
      </c>
      <c r="DN55">
        <v>0</v>
      </c>
      <c r="DO55">
        <v>0</v>
      </c>
      <c r="DP55">
        <v>1</v>
      </c>
      <c r="DQ55">
        <v>1</v>
      </c>
      <c r="DU55">
        <v>1013</v>
      </c>
      <c r="DV55" t="s">
        <v>23</v>
      </c>
      <c r="DW55" t="s">
        <v>23</v>
      </c>
      <c r="DX55">
        <v>1</v>
      </c>
      <c r="EE55">
        <v>31266033</v>
      </c>
      <c r="EF55">
        <v>10</v>
      </c>
      <c r="EG55" t="s">
        <v>32</v>
      </c>
      <c r="EH55">
        <v>0</v>
      </c>
      <c r="EI55" t="s">
        <v>3</v>
      </c>
      <c r="EJ55">
        <v>1</v>
      </c>
      <c r="EK55">
        <v>700005</v>
      </c>
      <c r="EL55" t="s">
        <v>33</v>
      </c>
      <c r="EM55" t="s">
        <v>34</v>
      </c>
      <c r="EO55" t="s">
        <v>3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FQ55">
        <v>0</v>
      </c>
      <c r="FR55">
        <f t="shared" si="21"/>
        <v>0</v>
      </c>
      <c r="FS55">
        <v>0</v>
      </c>
      <c r="FX55">
        <v>0</v>
      </c>
      <c r="FY55">
        <v>0</v>
      </c>
      <c r="GA55" t="s">
        <v>3</v>
      </c>
      <c r="GD55">
        <v>0</v>
      </c>
      <c r="GF55">
        <v>833515714</v>
      </c>
      <c r="GG55">
        <v>2</v>
      </c>
      <c r="GH55">
        <v>1</v>
      </c>
      <c r="GI55">
        <v>2</v>
      </c>
      <c r="GJ55">
        <v>2</v>
      </c>
      <c r="GK55">
        <f>ROUND(R55*(R12)/100,2)</f>
        <v>0</v>
      </c>
      <c r="GL55">
        <f t="shared" si="22"/>
        <v>0</v>
      </c>
      <c r="GM55">
        <f>ROUND(CP55*I55,2)</f>
        <v>1771.64</v>
      </c>
      <c r="GN55">
        <f>IF(OR(BI55=0,BI55=1),ROUND(CP55*I55,2),0)</f>
        <v>1771.64</v>
      </c>
      <c r="GO55">
        <f>IF(BI55=2,ROUND(CP55*I55,2),0)</f>
        <v>0</v>
      </c>
      <c r="GP55">
        <f>IF(BI55=4,ROUND(CP55*I55,2)+GX55,0)</f>
        <v>0</v>
      </c>
      <c r="GR55">
        <v>0</v>
      </c>
      <c r="GS55">
        <v>0</v>
      </c>
      <c r="GU55" t="s">
        <v>3</v>
      </c>
      <c r="GV55">
        <f>0</f>
        <v>0</v>
      </c>
      <c r="GW55">
        <v>1</v>
      </c>
      <c r="GX55">
        <f t="shared" si="23"/>
        <v>0</v>
      </c>
      <c r="GY55">
        <v>0</v>
      </c>
      <c r="GZ55">
        <v>0</v>
      </c>
      <c r="HA55">
        <v>0</v>
      </c>
      <c r="HB55">
        <v>0</v>
      </c>
      <c r="IK55">
        <v>0</v>
      </c>
    </row>
    <row r="56" spans="1:245" x14ac:dyDescent="0.2">
      <c r="A56">
        <v>17</v>
      </c>
      <c r="B56">
        <v>1</v>
      </c>
      <c r="E56" t="s">
        <v>156</v>
      </c>
      <c r="F56" t="s">
        <v>157</v>
      </c>
      <c r="G56" t="s">
        <v>158</v>
      </c>
      <c r="H56" t="s">
        <v>50</v>
      </c>
      <c r="I56">
        <v>4.38</v>
      </c>
      <c r="J56">
        <v>0</v>
      </c>
      <c r="O56">
        <f>ROUND(CP56,2)</f>
        <v>527.52</v>
      </c>
      <c r="P56">
        <f>ROUND(CQ56*I56,2)</f>
        <v>527.52</v>
      </c>
      <c r="Q56">
        <f>ROUND(CR56*I56,2)</f>
        <v>0</v>
      </c>
      <c r="R56">
        <f>ROUND(CS56*I56,2)</f>
        <v>0</v>
      </c>
      <c r="S56">
        <f>ROUND(CT56*I56,2)</f>
        <v>0</v>
      </c>
      <c r="T56">
        <f>ROUND(CU56*I56,2)</f>
        <v>0</v>
      </c>
      <c r="U56">
        <f>CV56*I56</f>
        <v>0</v>
      </c>
      <c r="V56">
        <f>CW56*I56</f>
        <v>0</v>
      </c>
      <c r="W56">
        <f>ROUND(CX56*I56,2)</f>
        <v>0</v>
      </c>
      <c r="X56">
        <f>ROUND(CY56,2)</f>
        <v>0</v>
      </c>
      <c r="Y56">
        <f>ROUND(CZ56,2)</f>
        <v>0</v>
      </c>
      <c r="AA56">
        <v>35891596</v>
      </c>
      <c r="AB56">
        <f>ROUND((AC56+AD56+AF56),2)</f>
        <v>12.08</v>
      </c>
      <c r="AC56">
        <f>ROUND((ES56),2)</f>
        <v>12.08</v>
      </c>
      <c r="AD56">
        <f>ROUND((((ET56)-(EU56))+AE56),2)</f>
        <v>0</v>
      </c>
      <c r="AE56">
        <f>ROUND((EU56),2)</f>
        <v>0</v>
      </c>
      <c r="AF56">
        <f>ROUND((EV56),2)</f>
        <v>0</v>
      </c>
      <c r="AG56">
        <f>ROUND((AP56),2)</f>
        <v>0</v>
      </c>
      <c r="AH56">
        <f>(EW56)</f>
        <v>0</v>
      </c>
      <c r="AI56">
        <f>(EX56)</f>
        <v>0</v>
      </c>
      <c r="AJ56">
        <f>ROUND((AS56),2)</f>
        <v>0</v>
      </c>
      <c r="AK56">
        <v>12.08</v>
      </c>
      <c r="AL56">
        <v>12.08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1</v>
      </c>
      <c r="AW56">
        <v>1</v>
      </c>
      <c r="AZ56">
        <v>1</v>
      </c>
      <c r="BA56">
        <v>9.9700000000000006</v>
      </c>
      <c r="BB56">
        <v>9.9700000000000006</v>
      </c>
      <c r="BC56">
        <v>9.9700000000000006</v>
      </c>
      <c r="BD56" t="s">
        <v>3</v>
      </c>
      <c r="BE56" t="s">
        <v>3</v>
      </c>
      <c r="BF56" t="s">
        <v>3</v>
      </c>
      <c r="BG56" t="s">
        <v>3</v>
      </c>
      <c r="BH56">
        <v>3</v>
      </c>
      <c r="BI56">
        <v>4</v>
      </c>
      <c r="BJ56" t="s">
        <v>3</v>
      </c>
      <c r="BM56">
        <v>0</v>
      </c>
      <c r="BN56">
        <v>0</v>
      </c>
      <c r="BO56" t="s">
        <v>3</v>
      </c>
      <c r="BP56">
        <v>0</v>
      </c>
      <c r="BQ56">
        <v>16</v>
      </c>
      <c r="BR56">
        <v>0</v>
      </c>
      <c r="BS56">
        <v>9.9700000000000006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0</v>
      </c>
      <c r="CA56">
        <v>0</v>
      </c>
      <c r="CF56">
        <v>0</v>
      </c>
      <c r="CG56">
        <v>0</v>
      </c>
      <c r="CM56">
        <v>0</v>
      </c>
      <c r="CN56" t="s">
        <v>3</v>
      </c>
      <c r="CO56">
        <v>0</v>
      </c>
      <c r="CP56">
        <f>(P56+Q56+S56)</f>
        <v>527.52</v>
      </c>
      <c r="CQ56">
        <f>AC56*BC56</f>
        <v>120.4376</v>
      </c>
      <c r="CR56">
        <f>AD56*BB56</f>
        <v>0</v>
      </c>
      <c r="CS56">
        <f>AE56*BS56</f>
        <v>0</v>
      </c>
      <c r="CT56">
        <f>AF56*BA56</f>
        <v>0</v>
      </c>
      <c r="CU56">
        <f>AG56</f>
        <v>0</v>
      </c>
      <c r="CV56">
        <f>AH56</f>
        <v>0</v>
      </c>
      <c r="CW56">
        <f>AI56</f>
        <v>0</v>
      </c>
      <c r="CX56">
        <f>AJ56</f>
        <v>0</v>
      </c>
      <c r="CY56">
        <f>(((S56+R56)*AT56)/100)</f>
        <v>0</v>
      </c>
      <c r="CZ56">
        <f>(((S56+R56)*AU56)/100)</f>
        <v>0</v>
      </c>
      <c r="DC56" t="s">
        <v>3</v>
      </c>
      <c r="DD56" t="s">
        <v>3</v>
      </c>
      <c r="DE56" t="s">
        <v>3</v>
      </c>
      <c r="DF56" t="s">
        <v>3</v>
      </c>
      <c r="DG56" t="s">
        <v>3</v>
      </c>
      <c r="DH56" t="s">
        <v>3</v>
      </c>
      <c r="DI56" t="s">
        <v>3</v>
      </c>
      <c r="DJ56" t="s">
        <v>3</v>
      </c>
      <c r="DK56" t="s">
        <v>3</v>
      </c>
      <c r="DL56" t="s">
        <v>3</v>
      </c>
      <c r="DM56" t="s">
        <v>3</v>
      </c>
      <c r="DN56">
        <v>0</v>
      </c>
      <c r="DO56">
        <v>0</v>
      </c>
      <c r="DP56">
        <v>1</v>
      </c>
      <c r="DQ56">
        <v>1</v>
      </c>
      <c r="DU56">
        <v>1007</v>
      </c>
      <c r="DV56" t="s">
        <v>50</v>
      </c>
      <c r="DW56" t="s">
        <v>50</v>
      </c>
      <c r="DX56">
        <v>1</v>
      </c>
      <c r="EE56">
        <v>31265684</v>
      </c>
      <c r="EF56">
        <v>16</v>
      </c>
      <c r="EG56" t="s">
        <v>159</v>
      </c>
      <c r="EH56">
        <v>0</v>
      </c>
      <c r="EI56" t="s">
        <v>3</v>
      </c>
      <c r="EJ56">
        <v>4</v>
      </c>
      <c r="EK56">
        <v>0</v>
      </c>
      <c r="EL56" t="s">
        <v>160</v>
      </c>
      <c r="EM56" t="s">
        <v>161</v>
      </c>
      <c r="EO56" t="s">
        <v>3</v>
      </c>
      <c r="EQ56">
        <v>0</v>
      </c>
      <c r="ER56">
        <v>12.08</v>
      </c>
      <c r="ES56">
        <v>12.08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5</v>
      </c>
      <c r="FC56">
        <v>1</v>
      </c>
      <c r="FD56">
        <v>18</v>
      </c>
      <c r="FF56">
        <v>126</v>
      </c>
      <c r="FQ56">
        <v>0</v>
      </c>
      <c r="FR56">
        <f t="shared" si="21"/>
        <v>0</v>
      </c>
      <c r="FS56">
        <v>0</v>
      </c>
      <c r="FV56" t="s">
        <v>45</v>
      </c>
      <c r="FW56" t="s">
        <v>46</v>
      </c>
      <c r="FX56">
        <v>0</v>
      </c>
      <c r="FY56">
        <v>0</v>
      </c>
      <c r="GA56" t="s">
        <v>162</v>
      </c>
      <c r="GD56">
        <v>0</v>
      </c>
      <c r="GF56">
        <v>270239144</v>
      </c>
      <c r="GG56">
        <v>2</v>
      </c>
      <c r="GH56">
        <v>3</v>
      </c>
      <c r="GI56">
        <v>3</v>
      </c>
      <c r="GJ56">
        <v>0</v>
      </c>
      <c r="GK56">
        <f>ROUND(R56*(R12)/100,2)</f>
        <v>0</v>
      </c>
      <c r="GL56">
        <f t="shared" si="22"/>
        <v>0</v>
      </c>
      <c r="GM56">
        <f>ROUND(O56+X56+Y56+GK56,2)+GX56</f>
        <v>527.52</v>
      </c>
      <c r="GN56">
        <f>IF(OR(BI56=0,BI56=1),ROUND(O56+X56+Y56+GK56,2),0)</f>
        <v>0</v>
      </c>
      <c r="GO56">
        <f>IF(BI56=2,ROUND(O56+X56+Y56+GK56,2),0)</f>
        <v>0</v>
      </c>
      <c r="GP56">
        <f>IF(BI56=4,ROUND(O56+X56+Y56+GK56,2)+GX56,0)</f>
        <v>527.52</v>
      </c>
      <c r="GR56">
        <v>1</v>
      </c>
      <c r="GS56">
        <v>1</v>
      </c>
      <c r="GT56">
        <v>0</v>
      </c>
      <c r="GU56" t="s">
        <v>3</v>
      </c>
      <c r="GV56">
        <f>ROUND(GT56,2)</f>
        <v>0</v>
      </c>
      <c r="GW56">
        <v>1</v>
      </c>
      <c r="GX56">
        <f t="shared" si="23"/>
        <v>0</v>
      </c>
      <c r="HA56">
        <v>0</v>
      </c>
      <c r="HB56">
        <v>0</v>
      </c>
      <c r="IK56">
        <v>0</v>
      </c>
    </row>
    <row r="58" spans="1:245" x14ac:dyDescent="0.2">
      <c r="A58" s="2">
        <v>51</v>
      </c>
      <c r="B58" s="2">
        <f>B24</f>
        <v>1</v>
      </c>
      <c r="C58" s="2">
        <f>A24</f>
        <v>4</v>
      </c>
      <c r="D58" s="2">
        <f>ROW(A24)</f>
        <v>24</v>
      </c>
      <c r="E58" s="2"/>
      <c r="F58" s="2" t="str">
        <f>IF(F24&lt;&gt;"",F24,"")</f>
        <v>Новый раздел</v>
      </c>
      <c r="G58" s="2" t="str">
        <f>IF(G24&lt;&gt;"",G24,"")</f>
        <v>Строительно-монтажные работы</v>
      </c>
      <c r="H58" s="2">
        <v>0</v>
      </c>
      <c r="I58" s="2"/>
      <c r="J58" s="2"/>
      <c r="K58" s="2"/>
      <c r="L58" s="2"/>
      <c r="M58" s="2"/>
      <c r="N58" s="2"/>
      <c r="O58" s="2">
        <f t="shared" ref="O58:T58" si="59">ROUND(AB58,2)</f>
        <v>363117.78</v>
      </c>
      <c r="P58" s="2">
        <f t="shared" si="59"/>
        <v>313825.78000000003</v>
      </c>
      <c r="Q58" s="2">
        <f t="shared" si="59"/>
        <v>18131.900000000001</v>
      </c>
      <c r="R58" s="2">
        <f t="shared" si="59"/>
        <v>6773.88</v>
      </c>
      <c r="S58" s="2">
        <f t="shared" si="59"/>
        <v>31160.1</v>
      </c>
      <c r="T58" s="2">
        <f t="shared" si="59"/>
        <v>0</v>
      </c>
      <c r="U58" s="2">
        <f>AH58</f>
        <v>141.6735888</v>
      </c>
      <c r="V58" s="2">
        <f>AI58</f>
        <v>20.578819199999998</v>
      </c>
      <c r="W58" s="2">
        <f>ROUND(AJ58,2)</f>
        <v>0</v>
      </c>
      <c r="X58" s="2">
        <f>ROUND(AK58,2)</f>
        <v>35051.5</v>
      </c>
      <c r="Y58" s="2">
        <f>ROUND(AL58,2)</f>
        <v>21883.599999999999</v>
      </c>
      <c r="Z58" s="2"/>
      <c r="AA58" s="2"/>
      <c r="AB58" s="2">
        <f>ROUND(SUMIF(AA28:AA56,"=35891596",O28:O56),2)</f>
        <v>363117.78</v>
      </c>
      <c r="AC58" s="2">
        <f>ROUND(SUMIF(AA28:AA56,"=35891596",P28:P56),2)</f>
        <v>313825.78000000003</v>
      </c>
      <c r="AD58" s="2">
        <f>ROUND(SUMIF(AA28:AA56,"=35891596",Q28:Q56),2)</f>
        <v>18131.900000000001</v>
      </c>
      <c r="AE58" s="2">
        <f>ROUND(SUMIF(AA28:AA56,"=35891596",R28:R56),2)</f>
        <v>6773.88</v>
      </c>
      <c r="AF58" s="2">
        <f>ROUND(SUMIF(AA28:AA56,"=35891596",S28:S56),2)</f>
        <v>31160.1</v>
      </c>
      <c r="AG58" s="2">
        <f>ROUND(SUMIF(AA28:AA56,"=35891596",T28:T56),2)</f>
        <v>0</v>
      </c>
      <c r="AH58" s="2">
        <f>SUMIF(AA28:AA56,"=35891596",U28:U56)</f>
        <v>141.6735888</v>
      </c>
      <c r="AI58" s="2">
        <f>SUMIF(AA28:AA56,"=35891596",V28:V56)</f>
        <v>20.578819199999998</v>
      </c>
      <c r="AJ58" s="2">
        <f>ROUND(SUMIF(AA28:AA56,"=35891596",W28:W56),2)</f>
        <v>0</v>
      </c>
      <c r="AK58" s="2">
        <f>ROUND(SUMIF(AA28:AA56,"=35891596",X28:X56),2)</f>
        <v>35051.5</v>
      </c>
      <c r="AL58" s="2">
        <f>ROUND(SUMIF(AA28:AA56,"=35891596",Y28:Y56),2)</f>
        <v>21883.599999999999</v>
      </c>
      <c r="AM58" s="2"/>
      <c r="AN58" s="2"/>
      <c r="AO58" s="2">
        <f t="shared" ref="AO58:BC58" si="60">ROUND(BX58,2)</f>
        <v>154585.5</v>
      </c>
      <c r="AP58" s="2">
        <f t="shared" si="60"/>
        <v>0</v>
      </c>
      <c r="AQ58" s="2">
        <f t="shared" si="60"/>
        <v>0</v>
      </c>
      <c r="AR58" s="2">
        <f t="shared" si="60"/>
        <v>430487.99</v>
      </c>
      <c r="AS58" s="2">
        <f t="shared" si="60"/>
        <v>241557.27</v>
      </c>
      <c r="AT58" s="2">
        <f t="shared" si="60"/>
        <v>188403.20000000001</v>
      </c>
      <c r="AU58" s="2">
        <f t="shared" si="60"/>
        <v>527.52</v>
      </c>
      <c r="AV58" s="2">
        <f t="shared" si="60"/>
        <v>159240.28</v>
      </c>
      <c r="AW58" s="2">
        <f t="shared" si="60"/>
        <v>313825.78000000003</v>
      </c>
      <c r="AX58" s="2">
        <f t="shared" si="60"/>
        <v>154585.5</v>
      </c>
      <c r="AY58" s="2">
        <f t="shared" si="60"/>
        <v>159240.28</v>
      </c>
      <c r="AZ58" s="2">
        <f t="shared" si="60"/>
        <v>0</v>
      </c>
      <c r="BA58" s="2">
        <f t="shared" si="60"/>
        <v>0</v>
      </c>
      <c r="BB58" s="2">
        <f t="shared" si="60"/>
        <v>0</v>
      </c>
      <c r="BC58" s="2">
        <f t="shared" si="60"/>
        <v>0</v>
      </c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>
        <f>ROUND(SUMIF(AA28:AA56,"=35891596",FQ28:FQ56),2)</f>
        <v>154585.5</v>
      </c>
      <c r="BY58" s="2">
        <f>ROUND(SUMIF(AA28:AA56,"=35891596",FR28:FR56),2)</f>
        <v>0</v>
      </c>
      <c r="BZ58" s="2">
        <f>ROUND(SUMIF(AA28:AA56,"=35891596",GL28:GL56),2)</f>
        <v>0</v>
      </c>
      <c r="CA58" s="2">
        <f>ROUND(SUMIF(AA28:AA56,"=35891596",GM28:GM56),2)</f>
        <v>430487.99</v>
      </c>
      <c r="CB58" s="2">
        <f>ROUND(SUMIF(AA28:AA56,"=35891596",GN28:GN56),2)</f>
        <v>241557.27</v>
      </c>
      <c r="CC58" s="2">
        <f>ROUND(SUMIF(AA28:AA56,"=35891596",GO28:GO56),2)</f>
        <v>188403.20000000001</v>
      </c>
      <c r="CD58" s="2">
        <f>ROUND(SUMIF(AA28:AA56,"=35891596",GP28:GP56),2)</f>
        <v>527.52</v>
      </c>
      <c r="CE58" s="2">
        <f>AC58-BX58</f>
        <v>159240.28000000003</v>
      </c>
      <c r="CF58" s="2">
        <f>AC58-BY58</f>
        <v>313825.78000000003</v>
      </c>
      <c r="CG58" s="2">
        <f>BX58-BZ58</f>
        <v>154585.5</v>
      </c>
      <c r="CH58" s="2">
        <f>AC58-BX58-BY58+BZ58</f>
        <v>159240.28000000003</v>
      </c>
      <c r="CI58" s="2">
        <f>BY58-BZ58</f>
        <v>0</v>
      </c>
      <c r="CJ58" s="2">
        <f>ROUND(SUMIF(AA28:AA56,"=35891596",GX28:GX56),2)</f>
        <v>0</v>
      </c>
      <c r="CK58" s="2">
        <f>ROUND(SUMIF(AA28:AA56,"=35891596",GY28:GY56),2)</f>
        <v>0</v>
      </c>
      <c r="CL58" s="2">
        <f>ROUND(SUMIF(AA28:AA56,"=35891596",GZ28:GZ56),2)</f>
        <v>0</v>
      </c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>
        <v>0</v>
      </c>
    </row>
    <row r="60" spans="1:245" x14ac:dyDescent="0.2">
      <c r="A60" s="4">
        <v>50</v>
      </c>
      <c r="B60" s="4">
        <v>0</v>
      </c>
      <c r="C60" s="4">
        <v>0</v>
      </c>
      <c r="D60" s="4">
        <v>1</v>
      </c>
      <c r="E60" s="4">
        <v>201</v>
      </c>
      <c r="F60" s="4">
        <f>ROUND(Source!O58,O60)</f>
        <v>363117.78</v>
      </c>
      <c r="G60" s="4" t="s">
        <v>163</v>
      </c>
      <c r="H60" s="4" t="s">
        <v>164</v>
      </c>
      <c r="I60" s="4"/>
      <c r="J60" s="4"/>
      <c r="K60" s="4">
        <v>201</v>
      </c>
      <c r="L60" s="4">
        <v>1</v>
      </c>
      <c r="M60" s="4">
        <v>3</v>
      </c>
      <c r="N60" s="4" t="s">
        <v>3</v>
      </c>
      <c r="O60" s="4">
        <v>2</v>
      </c>
      <c r="P60" s="4"/>
      <c r="Q60" s="4"/>
      <c r="R60" s="4"/>
      <c r="S60" s="4"/>
      <c r="T60" s="4"/>
      <c r="U60" s="4"/>
      <c r="V60" s="4"/>
      <c r="W60" s="4"/>
    </row>
    <row r="61" spans="1:245" x14ac:dyDescent="0.2">
      <c r="A61" s="4">
        <v>50</v>
      </c>
      <c r="B61" s="4">
        <v>0</v>
      </c>
      <c r="C61" s="4">
        <v>0</v>
      </c>
      <c r="D61" s="4">
        <v>1</v>
      </c>
      <c r="E61" s="4">
        <v>202</v>
      </c>
      <c r="F61" s="4">
        <f>ROUND(Source!P58,O61)</f>
        <v>313825.78000000003</v>
      </c>
      <c r="G61" s="4" t="s">
        <v>165</v>
      </c>
      <c r="H61" s="4" t="s">
        <v>166</v>
      </c>
      <c r="I61" s="4"/>
      <c r="J61" s="4"/>
      <c r="K61" s="4">
        <v>202</v>
      </c>
      <c r="L61" s="4">
        <v>2</v>
      </c>
      <c r="M61" s="4">
        <v>3</v>
      </c>
      <c r="N61" s="4" t="s">
        <v>3</v>
      </c>
      <c r="O61" s="4">
        <v>2</v>
      </c>
      <c r="P61" s="4"/>
      <c r="Q61" s="4"/>
      <c r="R61" s="4"/>
      <c r="S61" s="4"/>
      <c r="T61" s="4"/>
      <c r="U61" s="4"/>
      <c r="V61" s="4"/>
      <c r="W61" s="4"/>
    </row>
    <row r="62" spans="1:245" x14ac:dyDescent="0.2">
      <c r="A62" s="4">
        <v>50</v>
      </c>
      <c r="B62" s="4">
        <v>0</v>
      </c>
      <c r="C62" s="4">
        <v>0</v>
      </c>
      <c r="D62" s="4">
        <v>1</v>
      </c>
      <c r="E62" s="4">
        <v>222</v>
      </c>
      <c r="F62" s="4">
        <f>ROUND(Source!AO58,O62)</f>
        <v>154585.5</v>
      </c>
      <c r="G62" s="4" t="s">
        <v>167</v>
      </c>
      <c r="H62" s="4" t="s">
        <v>168</v>
      </c>
      <c r="I62" s="4"/>
      <c r="J62" s="4"/>
      <c r="K62" s="4">
        <v>222</v>
      </c>
      <c r="L62" s="4">
        <v>3</v>
      </c>
      <c r="M62" s="4">
        <v>3</v>
      </c>
      <c r="N62" s="4" t="s">
        <v>3</v>
      </c>
      <c r="O62" s="4">
        <v>2</v>
      </c>
      <c r="P62" s="4"/>
      <c r="Q62" s="4"/>
      <c r="R62" s="4"/>
      <c r="S62" s="4"/>
      <c r="T62" s="4"/>
      <c r="U62" s="4"/>
      <c r="V62" s="4"/>
      <c r="W62" s="4"/>
    </row>
    <row r="63" spans="1:245" x14ac:dyDescent="0.2">
      <c r="A63" s="4">
        <v>50</v>
      </c>
      <c r="B63" s="4">
        <v>0</v>
      </c>
      <c r="C63" s="4">
        <v>0</v>
      </c>
      <c r="D63" s="4">
        <v>1</v>
      </c>
      <c r="E63" s="4">
        <v>225</v>
      </c>
      <c r="F63" s="4">
        <f>ROUND(Source!AV58,O63)</f>
        <v>159240.28</v>
      </c>
      <c r="G63" s="4" t="s">
        <v>169</v>
      </c>
      <c r="H63" s="4" t="s">
        <v>170</v>
      </c>
      <c r="I63" s="4"/>
      <c r="J63" s="4"/>
      <c r="K63" s="4">
        <v>225</v>
      </c>
      <c r="L63" s="4">
        <v>4</v>
      </c>
      <c r="M63" s="4">
        <v>3</v>
      </c>
      <c r="N63" s="4" t="s">
        <v>3</v>
      </c>
      <c r="O63" s="4">
        <v>2</v>
      </c>
      <c r="P63" s="4"/>
      <c r="Q63" s="4"/>
      <c r="R63" s="4"/>
      <c r="S63" s="4"/>
      <c r="T63" s="4"/>
      <c r="U63" s="4"/>
      <c r="V63" s="4"/>
      <c r="W63" s="4"/>
    </row>
    <row r="64" spans="1:245" x14ac:dyDescent="0.2">
      <c r="A64" s="4">
        <v>50</v>
      </c>
      <c r="B64" s="4">
        <v>0</v>
      </c>
      <c r="C64" s="4">
        <v>0</v>
      </c>
      <c r="D64" s="4">
        <v>1</v>
      </c>
      <c r="E64" s="4">
        <v>226</v>
      </c>
      <c r="F64" s="4">
        <f>ROUND(Source!AW58,O64)</f>
        <v>313825.78000000003</v>
      </c>
      <c r="G64" s="4" t="s">
        <v>171</v>
      </c>
      <c r="H64" s="4" t="s">
        <v>172</v>
      </c>
      <c r="I64" s="4"/>
      <c r="J64" s="4"/>
      <c r="K64" s="4">
        <v>226</v>
      </c>
      <c r="L64" s="4">
        <v>5</v>
      </c>
      <c r="M64" s="4">
        <v>3</v>
      </c>
      <c r="N64" s="4" t="s">
        <v>3</v>
      </c>
      <c r="O64" s="4">
        <v>2</v>
      </c>
      <c r="P64" s="4"/>
      <c r="Q64" s="4"/>
      <c r="R64" s="4"/>
      <c r="S64" s="4"/>
      <c r="T64" s="4"/>
      <c r="U64" s="4"/>
      <c r="V64" s="4"/>
      <c r="W64" s="4"/>
    </row>
    <row r="65" spans="1:23" x14ac:dyDescent="0.2">
      <c r="A65" s="4">
        <v>50</v>
      </c>
      <c r="B65" s="4">
        <v>1</v>
      </c>
      <c r="C65" s="4">
        <v>0</v>
      </c>
      <c r="D65" s="4">
        <v>1</v>
      </c>
      <c r="E65" s="4">
        <v>227</v>
      </c>
      <c r="F65" s="4">
        <f>ROUND(Source!AX58,O65)</f>
        <v>154585.5</v>
      </c>
      <c r="G65" s="4" t="s">
        <v>173</v>
      </c>
      <c r="H65" s="4" t="s">
        <v>174</v>
      </c>
      <c r="I65" s="4"/>
      <c r="J65" s="4"/>
      <c r="K65" s="4">
        <v>227</v>
      </c>
      <c r="L65" s="4">
        <v>6</v>
      </c>
      <c r="M65" s="4">
        <v>0</v>
      </c>
      <c r="N65" s="4" t="s">
        <v>3</v>
      </c>
      <c r="O65" s="4">
        <v>2</v>
      </c>
      <c r="P65" s="4"/>
      <c r="Q65" s="4"/>
      <c r="R65" s="4"/>
      <c r="S65" s="4"/>
      <c r="T65" s="4"/>
      <c r="U65" s="4"/>
      <c r="V65" s="4"/>
      <c r="W65" s="4"/>
    </row>
    <row r="66" spans="1:23" x14ac:dyDescent="0.2">
      <c r="A66" s="4">
        <v>50</v>
      </c>
      <c r="B66" s="4">
        <v>0</v>
      </c>
      <c r="C66" s="4">
        <v>0</v>
      </c>
      <c r="D66" s="4">
        <v>1</v>
      </c>
      <c r="E66" s="4">
        <v>228</v>
      </c>
      <c r="F66" s="4">
        <f>ROUND(Source!AY58,O66)</f>
        <v>159240.28</v>
      </c>
      <c r="G66" s="4" t="s">
        <v>175</v>
      </c>
      <c r="H66" s="4" t="s">
        <v>176</v>
      </c>
      <c r="I66" s="4"/>
      <c r="J66" s="4"/>
      <c r="K66" s="4">
        <v>228</v>
      </c>
      <c r="L66" s="4">
        <v>7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/>
    </row>
    <row r="67" spans="1:23" x14ac:dyDescent="0.2">
      <c r="A67" s="4">
        <v>50</v>
      </c>
      <c r="B67" s="4">
        <v>0</v>
      </c>
      <c r="C67" s="4">
        <v>0</v>
      </c>
      <c r="D67" s="4">
        <v>1</v>
      </c>
      <c r="E67" s="4">
        <v>216</v>
      </c>
      <c r="F67" s="4">
        <f>ROUND(Source!AP58,O67)</f>
        <v>0</v>
      </c>
      <c r="G67" s="4" t="s">
        <v>177</v>
      </c>
      <c r="H67" s="4" t="s">
        <v>178</v>
      </c>
      <c r="I67" s="4"/>
      <c r="J67" s="4"/>
      <c r="K67" s="4">
        <v>216</v>
      </c>
      <c r="L67" s="4">
        <v>8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/>
    </row>
    <row r="68" spans="1:23" x14ac:dyDescent="0.2">
      <c r="A68" s="4">
        <v>50</v>
      </c>
      <c r="B68" s="4">
        <v>0</v>
      </c>
      <c r="C68" s="4">
        <v>0</v>
      </c>
      <c r="D68" s="4">
        <v>1</v>
      </c>
      <c r="E68" s="4">
        <v>223</v>
      </c>
      <c r="F68" s="4">
        <f>ROUND(Source!AQ58,O68)</f>
        <v>0</v>
      </c>
      <c r="G68" s="4" t="s">
        <v>179</v>
      </c>
      <c r="H68" s="4" t="s">
        <v>180</v>
      </c>
      <c r="I68" s="4"/>
      <c r="J68" s="4"/>
      <c r="K68" s="4">
        <v>223</v>
      </c>
      <c r="L68" s="4">
        <v>9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/>
    </row>
    <row r="69" spans="1:23" x14ac:dyDescent="0.2">
      <c r="A69" s="4">
        <v>50</v>
      </c>
      <c r="B69" s="4">
        <v>0</v>
      </c>
      <c r="C69" s="4">
        <v>0</v>
      </c>
      <c r="D69" s="4">
        <v>1</v>
      </c>
      <c r="E69" s="4">
        <v>229</v>
      </c>
      <c r="F69" s="4">
        <f>ROUND(Source!AZ58,O69)</f>
        <v>0</v>
      </c>
      <c r="G69" s="4" t="s">
        <v>181</v>
      </c>
      <c r="H69" s="4" t="s">
        <v>182</v>
      </c>
      <c r="I69" s="4"/>
      <c r="J69" s="4"/>
      <c r="K69" s="4">
        <v>229</v>
      </c>
      <c r="L69" s="4">
        <v>10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/>
    </row>
    <row r="70" spans="1:23" x14ac:dyDescent="0.2">
      <c r="A70" s="4">
        <v>50</v>
      </c>
      <c r="B70" s="4">
        <v>0</v>
      </c>
      <c r="C70" s="4">
        <v>0</v>
      </c>
      <c r="D70" s="4">
        <v>1</v>
      </c>
      <c r="E70" s="4">
        <v>203</v>
      </c>
      <c r="F70" s="4">
        <f>ROUND(Source!Q58,O70)</f>
        <v>18131.900000000001</v>
      </c>
      <c r="G70" s="4" t="s">
        <v>183</v>
      </c>
      <c r="H70" s="4" t="s">
        <v>184</v>
      </c>
      <c r="I70" s="4"/>
      <c r="J70" s="4"/>
      <c r="K70" s="4">
        <v>203</v>
      </c>
      <c r="L70" s="4">
        <v>11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/>
    </row>
    <row r="71" spans="1:23" x14ac:dyDescent="0.2">
      <c r="A71" s="4">
        <v>50</v>
      </c>
      <c r="B71" s="4">
        <v>0</v>
      </c>
      <c r="C71" s="4">
        <v>0</v>
      </c>
      <c r="D71" s="4">
        <v>1</v>
      </c>
      <c r="E71" s="4">
        <v>231</v>
      </c>
      <c r="F71" s="4">
        <f>ROUND(Source!BB58,O71)</f>
        <v>0</v>
      </c>
      <c r="G71" s="4" t="s">
        <v>185</v>
      </c>
      <c r="H71" s="4" t="s">
        <v>186</v>
      </c>
      <c r="I71" s="4"/>
      <c r="J71" s="4"/>
      <c r="K71" s="4">
        <v>231</v>
      </c>
      <c r="L71" s="4">
        <v>12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/>
    </row>
    <row r="72" spans="1:23" x14ac:dyDescent="0.2">
      <c r="A72" s="4">
        <v>50</v>
      </c>
      <c r="B72" s="4">
        <v>0</v>
      </c>
      <c r="C72" s="4">
        <v>0</v>
      </c>
      <c r="D72" s="4">
        <v>1</v>
      </c>
      <c r="E72" s="4">
        <v>204</v>
      </c>
      <c r="F72" s="4">
        <f>ROUND(Source!R58,O72)</f>
        <v>6773.88</v>
      </c>
      <c r="G72" s="4" t="s">
        <v>187</v>
      </c>
      <c r="H72" s="4" t="s">
        <v>188</v>
      </c>
      <c r="I72" s="4"/>
      <c r="J72" s="4"/>
      <c r="K72" s="4">
        <v>204</v>
      </c>
      <c r="L72" s="4">
        <v>13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/>
    </row>
    <row r="73" spans="1:23" x14ac:dyDescent="0.2">
      <c r="A73" s="4">
        <v>50</v>
      </c>
      <c r="B73" s="4">
        <v>0</v>
      </c>
      <c r="C73" s="4">
        <v>0</v>
      </c>
      <c r="D73" s="4">
        <v>1</v>
      </c>
      <c r="E73" s="4">
        <v>205</v>
      </c>
      <c r="F73" s="4">
        <f>ROUND(Source!S58,O73)</f>
        <v>31160.1</v>
      </c>
      <c r="G73" s="4" t="s">
        <v>189</v>
      </c>
      <c r="H73" s="4" t="s">
        <v>190</v>
      </c>
      <c r="I73" s="4"/>
      <c r="J73" s="4"/>
      <c r="K73" s="4">
        <v>205</v>
      </c>
      <c r="L73" s="4">
        <v>14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/>
    </row>
    <row r="74" spans="1:23" x14ac:dyDescent="0.2">
      <c r="A74" s="4">
        <v>50</v>
      </c>
      <c r="B74" s="4">
        <v>0</v>
      </c>
      <c r="C74" s="4">
        <v>0</v>
      </c>
      <c r="D74" s="4">
        <v>1</v>
      </c>
      <c r="E74" s="4">
        <v>232</v>
      </c>
      <c r="F74" s="4">
        <f>ROUND(Source!BC58,O74)</f>
        <v>0</v>
      </c>
      <c r="G74" s="4" t="s">
        <v>191</v>
      </c>
      <c r="H74" s="4" t="s">
        <v>192</v>
      </c>
      <c r="I74" s="4"/>
      <c r="J74" s="4"/>
      <c r="K74" s="4">
        <v>232</v>
      </c>
      <c r="L74" s="4">
        <v>15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/>
    </row>
    <row r="75" spans="1:23" x14ac:dyDescent="0.2">
      <c r="A75" s="4">
        <v>50</v>
      </c>
      <c r="B75" s="4">
        <v>0</v>
      </c>
      <c r="C75" s="4">
        <v>0</v>
      </c>
      <c r="D75" s="4">
        <v>1</v>
      </c>
      <c r="E75" s="4">
        <v>214</v>
      </c>
      <c r="F75" s="4">
        <f>ROUND(Source!AS58,O75)</f>
        <v>241557.27</v>
      </c>
      <c r="G75" s="4" t="s">
        <v>193</v>
      </c>
      <c r="H75" s="4" t="s">
        <v>194</v>
      </c>
      <c r="I75" s="4"/>
      <c r="J75" s="4"/>
      <c r="K75" s="4">
        <v>214</v>
      </c>
      <c r="L75" s="4">
        <v>16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/>
    </row>
    <row r="76" spans="1:23" x14ac:dyDescent="0.2">
      <c r="A76" s="4">
        <v>50</v>
      </c>
      <c r="B76" s="4">
        <v>0</v>
      </c>
      <c r="C76" s="4">
        <v>0</v>
      </c>
      <c r="D76" s="4">
        <v>1</v>
      </c>
      <c r="E76" s="4">
        <v>215</v>
      </c>
      <c r="F76" s="4">
        <f>ROUND(Source!AT58,O76)</f>
        <v>188403.20000000001</v>
      </c>
      <c r="G76" s="4" t="s">
        <v>195</v>
      </c>
      <c r="H76" s="4" t="s">
        <v>196</v>
      </c>
      <c r="I76" s="4"/>
      <c r="J76" s="4"/>
      <c r="K76" s="4">
        <v>215</v>
      </c>
      <c r="L76" s="4">
        <v>17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/>
    </row>
    <row r="77" spans="1:23" x14ac:dyDescent="0.2">
      <c r="A77" s="4">
        <v>50</v>
      </c>
      <c r="B77" s="4">
        <v>0</v>
      </c>
      <c r="C77" s="4">
        <v>0</v>
      </c>
      <c r="D77" s="4">
        <v>1</v>
      </c>
      <c r="E77" s="4">
        <v>217</v>
      </c>
      <c r="F77" s="4">
        <f>ROUND(Source!AU58,O77)</f>
        <v>527.52</v>
      </c>
      <c r="G77" s="4" t="s">
        <v>197</v>
      </c>
      <c r="H77" s="4" t="s">
        <v>198</v>
      </c>
      <c r="I77" s="4"/>
      <c r="J77" s="4"/>
      <c r="K77" s="4">
        <v>217</v>
      </c>
      <c r="L77" s="4">
        <v>18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/>
    </row>
    <row r="78" spans="1:23" x14ac:dyDescent="0.2">
      <c r="A78" s="4">
        <v>50</v>
      </c>
      <c r="B78" s="4">
        <v>0</v>
      </c>
      <c r="C78" s="4">
        <v>0</v>
      </c>
      <c r="D78" s="4">
        <v>1</v>
      </c>
      <c r="E78" s="4">
        <v>230</v>
      </c>
      <c r="F78" s="4">
        <f>ROUND(Source!BA58,O78)</f>
        <v>0</v>
      </c>
      <c r="G78" s="4" t="s">
        <v>199</v>
      </c>
      <c r="H78" s="4" t="s">
        <v>200</v>
      </c>
      <c r="I78" s="4"/>
      <c r="J78" s="4"/>
      <c r="K78" s="4">
        <v>230</v>
      </c>
      <c r="L78" s="4">
        <v>19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/>
    </row>
    <row r="79" spans="1:23" x14ac:dyDescent="0.2">
      <c r="A79" s="4">
        <v>50</v>
      </c>
      <c r="B79" s="4">
        <v>0</v>
      </c>
      <c r="C79" s="4">
        <v>0</v>
      </c>
      <c r="D79" s="4">
        <v>1</v>
      </c>
      <c r="E79" s="4">
        <v>206</v>
      </c>
      <c r="F79" s="4">
        <f>ROUND(Source!T58,O79)</f>
        <v>0</v>
      </c>
      <c r="G79" s="4" t="s">
        <v>201</v>
      </c>
      <c r="H79" s="4" t="s">
        <v>202</v>
      </c>
      <c r="I79" s="4"/>
      <c r="J79" s="4"/>
      <c r="K79" s="4">
        <v>206</v>
      </c>
      <c r="L79" s="4">
        <v>20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/>
    </row>
    <row r="80" spans="1:23" x14ac:dyDescent="0.2">
      <c r="A80" s="4">
        <v>50</v>
      </c>
      <c r="B80" s="4">
        <v>0</v>
      </c>
      <c r="C80" s="4">
        <v>0</v>
      </c>
      <c r="D80" s="4">
        <v>1</v>
      </c>
      <c r="E80" s="4">
        <v>207</v>
      </c>
      <c r="F80" s="4">
        <f>Source!U58</f>
        <v>141.6735888</v>
      </c>
      <c r="G80" s="4" t="s">
        <v>203</v>
      </c>
      <c r="H80" s="4" t="s">
        <v>204</v>
      </c>
      <c r="I80" s="4"/>
      <c r="J80" s="4"/>
      <c r="K80" s="4">
        <v>207</v>
      </c>
      <c r="L80" s="4">
        <v>21</v>
      </c>
      <c r="M80" s="4">
        <v>3</v>
      </c>
      <c r="N80" s="4" t="s">
        <v>3</v>
      </c>
      <c r="O80" s="4">
        <v>-1</v>
      </c>
      <c r="P80" s="4"/>
      <c r="Q80" s="4"/>
      <c r="R80" s="4"/>
      <c r="S80" s="4"/>
      <c r="T80" s="4"/>
      <c r="U80" s="4"/>
      <c r="V80" s="4"/>
      <c r="W80" s="4"/>
    </row>
    <row r="81" spans="1:245" x14ac:dyDescent="0.2">
      <c r="A81" s="4">
        <v>50</v>
      </c>
      <c r="B81" s="4">
        <v>0</v>
      </c>
      <c r="C81" s="4">
        <v>0</v>
      </c>
      <c r="D81" s="4">
        <v>1</v>
      </c>
      <c r="E81" s="4">
        <v>208</v>
      </c>
      <c r="F81" s="4">
        <f>Source!V58</f>
        <v>20.578819199999998</v>
      </c>
      <c r="G81" s="4" t="s">
        <v>205</v>
      </c>
      <c r="H81" s="4" t="s">
        <v>206</v>
      </c>
      <c r="I81" s="4"/>
      <c r="J81" s="4"/>
      <c r="K81" s="4">
        <v>208</v>
      </c>
      <c r="L81" s="4">
        <v>22</v>
      </c>
      <c r="M81" s="4">
        <v>3</v>
      </c>
      <c r="N81" s="4" t="s">
        <v>3</v>
      </c>
      <c r="O81" s="4">
        <v>-1</v>
      </c>
      <c r="P81" s="4"/>
      <c r="Q81" s="4"/>
      <c r="R81" s="4"/>
      <c r="S81" s="4"/>
      <c r="T81" s="4"/>
      <c r="U81" s="4"/>
      <c r="V81" s="4"/>
      <c r="W81" s="4"/>
    </row>
    <row r="82" spans="1:245" x14ac:dyDescent="0.2">
      <c r="A82" s="4">
        <v>50</v>
      </c>
      <c r="B82" s="4">
        <v>0</v>
      </c>
      <c r="C82" s="4">
        <v>0</v>
      </c>
      <c r="D82" s="4">
        <v>1</v>
      </c>
      <c r="E82" s="4">
        <v>209</v>
      </c>
      <c r="F82" s="4">
        <f>ROUND(Source!W58,O82)</f>
        <v>0</v>
      </c>
      <c r="G82" s="4" t="s">
        <v>207</v>
      </c>
      <c r="H82" s="4" t="s">
        <v>208</v>
      </c>
      <c r="I82" s="4"/>
      <c r="J82" s="4"/>
      <c r="K82" s="4">
        <v>209</v>
      </c>
      <c r="L82" s="4">
        <v>23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/>
    </row>
    <row r="83" spans="1:245" x14ac:dyDescent="0.2">
      <c r="A83" s="4">
        <v>50</v>
      </c>
      <c r="B83" s="4">
        <v>0</v>
      </c>
      <c r="C83" s="4">
        <v>0</v>
      </c>
      <c r="D83" s="4">
        <v>1</v>
      </c>
      <c r="E83" s="4">
        <v>210</v>
      </c>
      <c r="F83" s="4">
        <f>ROUND(Source!X58,O83)</f>
        <v>35051.5</v>
      </c>
      <c r="G83" s="4" t="s">
        <v>209</v>
      </c>
      <c r="H83" s="4" t="s">
        <v>210</v>
      </c>
      <c r="I83" s="4"/>
      <c r="J83" s="4"/>
      <c r="K83" s="4">
        <v>210</v>
      </c>
      <c r="L83" s="4">
        <v>24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/>
    </row>
    <row r="84" spans="1:245" x14ac:dyDescent="0.2">
      <c r="A84" s="4">
        <v>50</v>
      </c>
      <c r="B84" s="4">
        <v>0</v>
      </c>
      <c r="C84" s="4">
        <v>0</v>
      </c>
      <c r="D84" s="4">
        <v>1</v>
      </c>
      <c r="E84" s="4">
        <v>211</v>
      </c>
      <c r="F84" s="4">
        <f>ROUND(Source!Y58,O84)</f>
        <v>21883.599999999999</v>
      </c>
      <c r="G84" s="4" t="s">
        <v>211</v>
      </c>
      <c r="H84" s="4" t="s">
        <v>212</v>
      </c>
      <c r="I84" s="4"/>
      <c r="J84" s="4"/>
      <c r="K84" s="4">
        <v>211</v>
      </c>
      <c r="L84" s="4">
        <v>25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/>
    </row>
    <row r="85" spans="1:245" x14ac:dyDescent="0.2">
      <c r="A85" s="4">
        <v>50</v>
      </c>
      <c r="B85" s="4">
        <v>0</v>
      </c>
      <c r="C85" s="4">
        <v>0</v>
      </c>
      <c r="D85" s="4">
        <v>1</v>
      </c>
      <c r="E85" s="4">
        <v>224</v>
      </c>
      <c r="F85" s="4">
        <f>ROUND(Source!AR58,O85)</f>
        <v>430487.99</v>
      </c>
      <c r="G85" s="4" t="s">
        <v>213</v>
      </c>
      <c r="H85" s="4" t="s">
        <v>214</v>
      </c>
      <c r="I85" s="4"/>
      <c r="J85" s="4"/>
      <c r="K85" s="4">
        <v>224</v>
      </c>
      <c r="L85" s="4">
        <v>26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/>
    </row>
    <row r="86" spans="1:245" x14ac:dyDescent="0.2">
      <c r="A86" s="4">
        <v>50</v>
      </c>
      <c r="B86" s="4">
        <v>1</v>
      </c>
      <c r="C86" s="4">
        <v>0</v>
      </c>
      <c r="D86" s="4">
        <v>2</v>
      </c>
      <c r="E86" s="4">
        <v>0</v>
      </c>
      <c r="F86" s="4">
        <f>ROUND(F85-F65,O86)</f>
        <v>275902.49</v>
      </c>
      <c r="G86" s="4" t="s">
        <v>215</v>
      </c>
      <c r="H86" s="4" t="s">
        <v>216</v>
      </c>
      <c r="I86" s="4"/>
      <c r="J86" s="4"/>
      <c r="K86" s="4">
        <v>212</v>
      </c>
      <c r="L86" s="4">
        <v>27</v>
      </c>
      <c r="M86" s="4">
        <v>0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/>
    </row>
    <row r="88" spans="1:245" x14ac:dyDescent="0.2">
      <c r="A88" s="1">
        <v>4</v>
      </c>
      <c r="B88" s="1">
        <v>1</v>
      </c>
      <c r="C88" s="1"/>
      <c r="D88" s="1">
        <f>ROW(A103)</f>
        <v>103</v>
      </c>
      <c r="E88" s="1"/>
      <c r="F88" s="1" t="s">
        <v>18</v>
      </c>
      <c r="G88" s="1" t="s">
        <v>217</v>
      </c>
      <c r="H88" s="1" t="s">
        <v>3</v>
      </c>
      <c r="I88" s="1">
        <v>0</v>
      </c>
      <c r="J88" s="1"/>
      <c r="K88" s="1">
        <v>-1</v>
      </c>
      <c r="L88" s="1"/>
      <c r="M88" s="1"/>
      <c r="N88" s="1"/>
      <c r="O88" s="1"/>
      <c r="P88" s="1"/>
      <c r="Q88" s="1"/>
      <c r="R88" s="1"/>
      <c r="S88" s="1"/>
      <c r="T88" s="1"/>
      <c r="U88" s="1" t="s">
        <v>3</v>
      </c>
      <c r="V88" s="1">
        <v>0</v>
      </c>
      <c r="W88" s="1"/>
      <c r="X88" s="1"/>
      <c r="Y88" s="1"/>
      <c r="Z88" s="1"/>
      <c r="AA88" s="1"/>
      <c r="AB88" s="1" t="s">
        <v>3</v>
      </c>
      <c r="AC88" s="1" t="s">
        <v>3</v>
      </c>
      <c r="AD88" s="1" t="s">
        <v>3</v>
      </c>
      <c r="AE88" s="1" t="s">
        <v>3</v>
      </c>
      <c r="AF88" s="1" t="s">
        <v>3</v>
      </c>
      <c r="AG88" s="1" t="s">
        <v>3</v>
      </c>
      <c r="AH88" s="1"/>
      <c r="AI88" s="1"/>
      <c r="AJ88" s="1"/>
      <c r="AK88" s="1"/>
      <c r="AL88" s="1"/>
      <c r="AM88" s="1"/>
      <c r="AN88" s="1"/>
      <c r="AO88" s="1"/>
      <c r="AP88" s="1" t="s">
        <v>3</v>
      </c>
      <c r="AQ88" s="1" t="s">
        <v>3</v>
      </c>
      <c r="AR88" s="1" t="s">
        <v>3</v>
      </c>
      <c r="AS88" s="1"/>
      <c r="AT88" s="1"/>
      <c r="AU88" s="1"/>
      <c r="AV88" s="1"/>
      <c r="AW88" s="1"/>
      <c r="AX88" s="1"/>
      <c r="AY88" s="1"/>
      <c r="AZ88" s="1" t="s">
        <v>3</v>
      </c>
      <c r="BA88" s="1"/>
      <c r="BB88" s="1" t="s">
        <v>3</v>
      </c>
      <c r="BC88" s="1" t="s">
        <v>3</v>
      </c>
      <c r="BD88" s="1" t="s">
        <v>3</v>
      </c>
      <c r="BE88" s="1" t="s">
        <v>3</v>
      </c>
      <c r="BF88" s="1" t="s">
        <v>3</v>
      </c>
      <c r="BG88" s="1" t="s">
        <v>3</v>
      </c>
      <c r="BH88" s="1" t="s">
        <v>3</v>
      </c>
      <c r="BI88" s="1" t="s">
        <v>3</v>
      </c>
      <c r="BJ88" s="1" t="s">
        <v>3</v>
      </c>
      <c r="BK88" s="1" t="s">
        <v>3</v>
      </c>
      <c r="BL88" s="1" t="s">
        <v>3</v>
      </c>
      <c r="BM88" s="1" t="s">
        <v>3</v>
      </c>
      <c r="BN88" s="1" t="s">
        <v>3</v>
      </c>
      <c r="BO88" s="1" t="s">
        <v>3</v>
      </c>
      <c r="BP88" s="1" t="s">
        <v>3</v>
      </c>
      <c r="BQ88" s="1"/>
      <c r="BR88" s="1"/>
      <c r="BS88" s="1"/>
      <c r="BT88" s="1"/>
      <c r="BU88" s="1"/>
      <c r="BV88" s="1"/>
      <c r="BW88" s="1"/>
      <c r="BX88" s="1">
        <v>0</v>
      </c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>
        <v>0</v>
      </c>
    </row>
    <row r="90" spans="1:245" x14ac:dyDescent="0.2">
      <c r="A90" s="2">
        <v>52</v>
      </c>
      <c r="B90" s="2">
        <f t="shared" ref="B90:G90" si="61">B103</f>
        <v>1</v>
      </c>
      <c r="C90" s="2">
        <f t="shared" si="61"/>
        <v>4</v>
      </c>
      <c r="D90" s="2">
        <f t="shared" si="61"/>
        <v>88</v>
      </c>
      <c r="E90" s="2">
        <f t="shared" si="61"/>
        <v>0</v>
      </c>
      <c r="F90" s="2" t="str">
        <f t="shared" si="61"/>
        <v>Новый раздел</v>
      </c>
      <c r="G90" s="2" t="str">
        <f t="shared" si="61"/>
        <v>Демонтаж ИВРУ в районе СП-4</v>
      </c>
      <c r="H90" s="2"/>
      <c r="I90" s="2"/>
      <c r="J90" s="2"/>
      <c r="K90" s="2"/>
      <c r="L90" s="2"/>
      <c r="M90" s="2"/>
      <c r="N90" s="2"/>
      <c r="O90" s="2">
        <f t="shared" ref="O90:AT90" si="62">O103</f>
        <v>3593.13</v>
      </c>
      <c r="P90" s="2">
        <f t="shared" si="62"/>
        <v>0</v>
      </c>
      <c r="Q90" s="2">
        <f t="shared" si="62"/>
        <v>1551.82</v>
      </c>
      <c r="R90" s="2">
        <f t="shared" si="62"/>
        <v>589.91999999999996</v>
      </c>
      <c r="S90" s="2">
        <f t="shared" si="62"/>
        <v>2041.31</v>
      </c>
      <c r="T90" s="2">
        <f t="shared" si="62"/>
        <v>0</v>
      </c>
      <c r="U90" s="2">
        <f t="shared" si="62"/>
        <v>8.4971040000000002</v>
      </c>
      <c r="V90" s="2">
        <f t="shared" si="62"/>
        <v>1.83792</v>
      </c>
      <c r="W90" s="2">
        <f t="shared" si="62"/>
        <v>0</v>
      </c>
      <c r="X90" s="2">
        <f t="shared" si="62"/>
        <v>2085.1999999999998</v>
      </c>
      <c r="Y90" s="2">
        <f t="shared" si="62"/>
        <v>1552.61</v>
      </c>
      <c r="Z90" s="2">
        <f t="shared" si="62"/>
        <v>0</v>
      </c>
      <c r="AA90" s="2">
        <f t="shared" si="62"/>
        <v>0</v>
      </c>
      <c r="AB90" s="2">
        <f t="shared" si="62"/>
        <v>3593.13</v>
      </c>
      <c r="AC90" s="2">
        <f t="shared" si="62"/>
        <v>0</v>
      </c>
      <c r="AD90" s="2">
        <f t="shared" si="62"/>
        <v>1551.82</v>
      </c>
      <c r="AE90" s="2">
        <f t="shared" si="62"/>
        <v>589.91999999999996</v>
      </c>
      <c r="AF90" s="2">
        <f t="shared" si="62"/>
        <v>2041.31</v>
      </c>
      <c r="AG90" s="2">
        <f t="shared" si="62"/>
        <v>0</v>
      </c>
      <c r="AH90" s="2">
        <f t="shared" si="62"/>
        <v>8.4971040000000002</v>
      </c>
      <c r="AI90" s="2">
        <f t="shared" si="62"/>
        <v>1.83792</v>
      </c>
      <c r="AJ90" s="2">
        <f t="shared" si="62"/>
        <v>0</v>
      </c>
      <c r="AK90" s="2">
        <f t="shared" si="62"/>
        <v>2085.1999999999998</v>
      </c>
      <c r="AL90" s="2">
        <f t="shared" si="62"/>
        <v>1552.61</v>
      </c>
      <c r="AM90" s="2">
        <f t="shared" si="62"/>
        <v>0</v>
      </c>
      <c r="AN90" s="2">
        <f t="shared" si="62"/>
        <v>0</v>
      </c>
      <c r="AO90" s="2">
        <f t="shared" si="62"/>
        <v>0</v>
      </c>
      <c r="AP90" s="2">
        <f t="shared" si="62"/>
        <v>0</v>
      </c>
      <c r="AQ90" s="2">
        <f t="shared" si="62"/>
        <v>0</v>
      </c>
      <c r="AR90" s="2">
        <f t="shared" si="62"/>
        <v>7299.12</v>
      </c>
      <c r="AS90" s="2">
        <f t="shared" si="62"/>
        <v>3444.59</v>
      </c>
      <c r="AT90" s="2">
        <f t="shared" si="62"/>
        <v>3854.53</v>
      </c>
      <c r="AU90" s="2">
        <f t="shared" ref="AU90:BZ90" si="63">AU103</f>
        <v>0</v>
      </c>
      <c r="AV90" s="2">
        <f t="shared" si="63"/>
        <v>0</v>
      </c>
      <c r="AW90" s="2">
        <f t="shared" si="63"/>
        <v>0</v>
      </c>
      <c r="AX90" s="2">
        <f t="shared" si="63"/>
        <v>0</v>
      </c>
      <c r="AY90" s="2">
        <f t="shared" si="63"/>
        <v>0</v>
      </c>
      <c r="AZ90" s="2">
        <f t="shared" si="63"/>
        <v>0</v>
      </c>
      <c r="BA90" s="2">
        <f t="shared" si="63"/>
        <v>0</v>
      </c>
      <c r="BB90" s="2">
        <f t="shared" si="63"/>
        <v>0</v>
      </c>
      <c r="BC90" s="2">
        <f t="shared" si="63"/>
        <v>0</v>
      </c>
      <c r="BD90" s="2">
        <f t="shared" si="63"/>
        <v>0</v>
      </c>
      <c r="BE90" s="2">
        <f t="shared" si="63"/>
        <v>0</v>
      </c>
      <c r="BF90" s="2">
        <f t="shared" si="63"/>
        <v>0</v>
      </c>
      <c r="BG90" s="2">
        <f t="shared" si="63"/>
        <v>0</v>
      </c>
      <c r="BH90" s="2">
        <f t="shared" si="63"/>
        <v>0</v>
      </c>
      <c r="BI90" s="2">
        <f t="shared" si="63"/>
        <v>0</v>
      </c>
      <c r="BJ90" s="2">
        <f t="shared" si="63"/>
        <v>0</v>
      </c>
      <c r="BK90" s="2">
        <f t="shared" si="63"/>
        <v>0</v>
      </c>
      <c r="BL90" s="2">
        <f t="shared" si="63"/>
        <v>0</v>
      </c>
      <c r="BM90" s="2">
        <f t="shared" si="63"/>
        <v>0</v>
      </c>
      <c r="BN90" s="2">
        <f t="shared" si="63"/>
        <v>0</v>
      </c>
      <c r="BO90" s="2">
        <f t="shared" si="63"/>
        <v>0</v>
      </c>
      <c r="BP90" s="2">
        <f t="shared" si="63"/>
        <v>0</v>
      </c>
      <c r="BQ90" s="2">
        <f t="shared" si="63"/>
        <v>0</v>
      </c>
      <c r="BR90" s="2">
        <f t="shared" si="63"/>
        <v>0</v>
      </c>
      <c r="BS90" s="2">
        <f t="shared" si="63"/>
        <v>0</v>
      </c>
      <c r="BT90" s="2">
        <f t="shared" si="63"/>
        <v>0</v>
      </c>
      <c r="BU90" s="2">
        <f t="shared" si="63"/>
        <v>0</v>
      </c>
      <c r="BV90" s="2">
        <f t="shared" si="63"/>
        <v>0</v>
      </c>
      <c r="BW90" s="2">
        <f t="shared" si="63"/>
        <v>0</v>
      </c>
      <c r="BX90" s="2">
        <f t="shared" si="63"/>
        <v>0</v>
      </c>
      <c r="BY90" s="2">
        <f t="shared" si="63"/>
        <v>0</v>
      </c>
      <c r="BZ90" s="2">
        <f t="shared" si="63"/>
        <v>0</v>
      </c>
      <c r="CA90" s="2">
        <f t="shared" ref="CA90:DF90" si="64">CA103</f>
        <v>7299.12</v>
      </c>
      <c r="CB90" s="2">
        <f t="shared" si="64"/>
        <v>3444.59</v>
      </c>
      <c r="CC90" s="2">
        <f t="shared" si="64"/>
        <v>3854.53</v>
      </c>
      <c r="CD90" s="2">
        <f t="shared" si="64"/>
        <v>0</v>
      </c>
      <c r="CE90" s="2">
        <f t="shared" si="64"/>
        <v>0</v>
      </c>
      <c r="CF90" s="2">
        <f t="shared" si="64"/>
        <v>0</v>
      </c>
      <c r="CG90" s="2">
        <f t="shared" si="64"/>
        <v>0</v>
      </c>
      <c r="CH90" s="2">
        <f t="shared" si="64"/>
        <v>0</v>
      </c>
      <c r="CI90" s="2">
        <f t="shared" si="64"/>
        <v>0</v>
      </c>
      <c r="CJ90" s="2">
        <f t="shared" si="64"/>
        <v>0</v>
      </c>
      <c r="CK90" s="2">
        <f t="shared" si="64"/>
        <v>0</v>
      </c>
      <c r="CL90" s="2">
        <f t="shared" si="64"/>
        <v>0</v>
      </c>
      <c r="CM90" s="2">
        <f t="shared" si="64"/>
        <v>0</v>
      </c>
      <c r="CN90" s="2">
        <f t="shared" si="64"/>
        <v>0</v>
      </c>
      <c r="CO90" s="2">
        <f t="shared" si="64"/>
        <v>0</v>
      </c>
      <c r="CP90" s="2">
        <f t="shared" si="64"/>
        <v>0</v>
      </c>
      <c r="CQ90" s="2">
        <f t="shared" si="64"/>
        <v>0</v>
      </c>
      <c r="CR90" s="2">
        <f t="shared" si="64"/>
        <v>0</v>
      </c>
      <c r="CS90" s="2">
        <f t="shared" si="64"/>
        <v>0</v>
      </c>
      <c r="CT90" s="2">
        <f t="shared" si="64"/>
        <v>0</v>
      </c>
      <c r="CU90" s="2">
        <f t="shared" si="64"/>
        <v>0</v>
      </c>
      <c r="CV90" s="2">
        <f t="shared" si="64"/>
        <v>0</v>
      </c>
      <c r="CW90" s="2">
        <f t="shared" si="64"/>
        <v>0</v>
      </c>
      <c r="CX90" s="2">
        <f t="shared" si="64"/>
        <v>0</v>
      </c>
      <c r="CY90" s="2">
        <f t="shared" si="64"/>
        <v>0</v>
      </c>
      <c r="CZ90" s="2">
        <f t="shared" si="64"/>
        <v>0</v>
      </c>
      <c r="DA90" s="2">
        <f t="shared" si="64"/>
        <v>0</v>
      </c>
      <c r="DB90" s="2">
        <f t="shared" si="64"/>
        <v>0</v>
      </c>
      <c r="DC90" s="2">
        <f t="shared" si="64"/>
        <v>0</v>
      </c>
      <c r="DD90" s="2">
        <f t="shared" si="64"/>
        <v>0</v>
      </c>
      <c r="DE90" s="2">
        <f t="shared" si="64"/>
        <v>0</v>
      </c>
      <c r="DF90" s="2">
        <f t="shared" si="64"/>
        <v>0</v>
      </c>
      <c r="DG90" s="3">
        <f t="shared" ref="DG90:EL90" si="65">DG103</f>
        <v>0</v>
      </c>
      <c r="DH90" s="3">
        <f t="shared" si="65"/>
        <v>0</v>
      </c>
      <c r="DI90" s="3">
        <f t="shared" si="65"/>
        <v>0</v>
      </c>
      <c r="DJ90" s="3">
        <f t="shared" si="65"/>
        <v>0</v>
      </c>
      <c r="DK90" s="3">
        <f t="shared" si="65"/>
        <v>0</v>
      </c>
      <c r="DL90" s="3">
        <f t="shared" si="65"/>
        <v>0</v>
      </c>
      <c r="DM90" s="3">
        <f t="shared" si="65"/>
        <v>0</v>
      </c>
      <c r="DN90" s="3">
        <f t="shared" si="65"/>
        <v>0</v>
      </c>
      <c r="DO90" s="3">
        <f t="shared" si="65"/>
        <v>0</v>
      </c>
      <c r="DP90" s="3">
        <f t="shared" si="65"/>
        <v>0</v>
      </c>
      <c r="DQ90" s="3">
        <f t="shared" si="65"/>
        <v>0</v>
      </c>
      <c r="DR90" s="3">
        <f t="shared" si="65"/>
        <v>0</v>
      </c>
      <c r="DS90" s="3">
        <f t="shared" si="65"/>
        <v>0</v>
      </c>
      <c r="DT90" s="3">
        <f t="shared" si="65"/>
        <v>0</v>
      </c>
      <c r="DU90" s="3">
        <f t="shared" si="65"/>
        <v>0</v>
      </c>
      <c r="DV90" s="3">
        <f t="shared" si="65"/>
        <v>0</v>
      </c>
      <c r="DW90" s="3">
        <f t="shared" si="65"/>
        <v>0</v>
      </c>
      <c r="DX90" s="3">
        <f t="shared" si="65"/>
        <v>0</v>
      </c>
      <c r="DY90" s="3">
        <f t="shared" si="65"/>
        <v>0</v>
      </c>
      <c r="DZ90" s="3">
        <f t="shared" si="65"/>
        <v>0</v>
      </c>
      <c r="EA90" s="3">
        <f t="shared" si="65"/>
        <v>0</v>
      </c>
      <c r="EB90" s="3">
        <f t="shared" si="65"/>
        <v>0</v>
      </c>
      <c r="EC90" s="3">
        <f t="shared" si="65"/>
        <v>0</v>
      </c>
      <c r="ED90" s="3">
        <f t="shared" si="65"/>
        <v>0</v>
      </c>
      <c r="EE90" s="3">
        <f t="shared" si="65"/>
        <v>0</v>
      </c>
      <c r="EF90" s="3">
        <f t="shared" si="65"/>
        <v>0</v>
      </c>
      <c r="EG90" s="3">
        <f t="shared" si="65"/>
        <v>0</v>
      </c>
      <c r="EH90" s="3">
        <f t="shared" si="65"/>
        <v>0</v>
      </c>
      <c r="EI90" s="3">
        <f t="shared" si="65"/>
        <v>0</v>
      </c>
      <c r="EJ90" s="3">
        <f t="shared" si="65"/>
        <v>0</v>
      </c>
      <c r="EK90" s="3">
        <f t="shared" si="65"/>
        <v>0</v>
      </c>
      <c r="EL90" s="3">
        <f t="shared" si="65"/>
        <v>0</v>
      </c>
      <c r="EM90" s="3">
        <f t="shared" ref="EM90:FR90" si="66">EM103</f>
        <v>0</v>
      </c>
      <c r="EN90" s="3">
        <f t="shared" si="66"/>
        <v>0</v>
      </c>
      <c r="EO90" s="3">
        <f t="shared" si="66"/>
        <v>0</v>
      </c>
      <c r="EP90" s="3">
        <f t="shared" si="66"/>
        <v>0</v>
      </c>
      <c r="EQ90" s="3">
        <f t="shared" si="66"/>
        <v>0</v>
      </c>
      <c r="ER90" s="3">
        <f t="shared" si="66"/>
        <v>0</v>
      </c>
      <c r="ES90" s="3">
        <f t="shared" si="66"/>
        <v>0</v>
      </c>
      <c r="ET90" s="3">
        <f t="shared" si="66"/>
        <v>0</v>
      </c>
      <c r="EU90" s="3">
        <f t="shared" si="66"/>
        <v>0</v>
      </c>
      <c r="EV90" s="3">
        <f t="shared" si="66"/>
        <v>0</v>
      </c>
      <c r="EW90" s="3">
        <f t="shared" si="66"/>
        <v>0</v>
      </c>
      <c r="EX90" s="3">
        <f t="shared" si="66"/>
        <v>0</v>
      </c>
      <c r="EY90" s="3">
        <f t="shared" si="66"/>
        <v>0</v>
      </c>
      <c r="EZ90" s="3">
        <f t="shared" si="66"/>
        <v>0</v>
      </c>
      <c r="FA90" s="3">
        <f t="shared" si="66"/>
        <v>0</v>
      </c>
      <c r="FB90" s="3">
        <f t="shared" si="66"/>
        <v>0</v>
      </c>
      <c r="FC90" s="3">
        <f t="shared" si="66"/>
        <v>0</v>
      </c>
      <c r="FD90" s="3">
        <f t="shared" si="66"/>
        <v>0</v>
      </c>
      <c r="FE90" s="3">
        <f t="shared" si="66"/>
        <v>0</v>
      </c>
      <c r="FF90" s="3">
        <f t="shared" si="66"/>
        <v>0</v>
      </c>
      <c r="FG90" s="3">
        <f t="shared" si="66"/>
        <v>0</v>
      </c>
      <c r="FH90" s="3">
        <f t="shared" si="66"/>
        <v>0</v>
      </c>
      <c r="FI90" s="3">
        <f t="shared" si="66"/>
        <v>0</v>
      </c>
      <c r="FJ90" s="3">
        <f t="shared" si="66"/>
        <v>0</v>
      </c>
      <c r="FK90" s="3">
        <f t="shared" si="66"/>
        <v>0</v>
      </c>
      <c r="FL90" s="3">
        <f t="shared" si="66"/>
        <v>0</v>
      </c>
      <c r="FM90" s="3">
        <f t="shared" si="66"/>
        <v>0</v>
      </c>
      <c r="FN90" s="3">
        <f t="shared" si="66"/>
        <v>0</v>
      </c>
      <c r="FO90" s="3">
        <f t="shared" si="66"/>
        <v>0</v>
      </c>
      <c r="FP90" s="3">
        <f t="shared" si="66"/>
        <v>0</v>
      </c>
      <c r="FQ90" s="3">
        <f t="shared" si="66"/>
        <v>0</v>
      </c>
      <c r="FR90" s="3">
        <f t="shared" si="66"/>
        <v>0</v>
      </c>
      <c r="FS90" s="3">
        <f t="shared" ref="FS90:GX90" si="67">FS103</f>
        <v>0</v>
      </c>
      <c r="FT90" s="3">
        <f t="shared" si="67"/>
        <v>0</v>
      </c>
      <c r="FU90" s="3">
        <f t="shared" si="67"/>
        <v>0</v>
      </c>
      <c r="FV90" s="3">
        <f t="shared" si="67"/>
        <v>0</v>
      </c>
      <c r="FW90" s="3">
        <f t="shared" si="67"/>
        <v>0</v>
      </c>
      <c r="FX90" s="3">
        <f t="shared" si="67"/>
        <v>0</v>
      </c>
      <c r="FY90" s="3">
        <f t="shared" si="67"/>
        <v>0</v>
      </c>
      <c r="FZ90" s="3">
        <f t="shared" si="67"/>
        <v>0</v>
      </c>
      <c r="GA90" s="3">
        <f t="shared" si="67"/>
        <v>0</v>
      </c>
      <c r="GB90" s="3">
        <f t="shared" si="67"/>
        <v>0</v>
      </c>
      <c r="GC90" s="3">
        <f t="shared" si="67"/>
        <v>0</v>
      </c>
      <c r="GD90" s="3">
        <f t="shared" si="67"/>
        <v>0</v>
      </c>
      <c r="GE90" s="3">
        <f t="shared" si="67"/>
        <v>0</v>
      </c>
      <c r="GF90" s="3">
        <f t="shared" si="67"/>
        <v>0</v>
      </c>
      <c r="GG90" s="3">
        <f t="shared" si="67"/>
        <v>0</v>
      </c>
      <c r="GH90" s="3">
        <f t="shared" si="67"/>
        <v>0</v>
      </c>
      <c r="GI90" s="3">
        <f t="shared" si="67"/>
        <v>0</v>
      </c>
      <c r="GJ90" s="3">
        <f t="shared" si="67"/>
        <v>0</v>
      </c>
      <c r="GK90" s="3">
        <f t="shared" si="67"/>
        <v>0</v>
      </c>
      <c r="GL90" s="3">
        <f t="shared" si="67"/>
        <v>0</v>
      </c>
      <c r="GM90" s="3">
        <f t="shared" si="67"/>
        <v>0</v>
      </c>
      <c r="GN90" s="3">
        <f t="shared" si="67"/>
        <v>0</v>
      </c>
      <c r="GO90" s="3">
        <f t="shared" si="67"/>
        <v>0</v>
      </c>
      <c r="GP90" s="3">
        <f t="shared" si="67"/>
        <v>0</v>
      </c>
      <c r="GQ90" s="3">
        <f t="shared" si="67"/>
        <v>0</v>
      </c>
      <c r="GR90" s="3">
        <f t="shared" si="67"/>
        <v>0</v>
      </c>
      <c r="GS90" s="3">
        <f t="shared" si="67"/>
        <v>0</v>
      </c>
      <c r="GT90" s="3">
        <f t="shared" si="67"/>
        <v>0</v>
      </c>
      <c r="GU90" s="3">
        <f t="shared" si="67"/>
        <v>0</v>
      </c>
      <c r="GV90" s="3">
        <f t="shared" si="67"/>
        <v>0</v>
      </c>
      <c r="GW90" s="3">
        <f t="shared" si="67"/>
        <v>0</v>
      </c>
      <c r="GX90" s="3">
        <f t="shared" si="67"/>
        <v>0</v>
      </c>
    </row>
    <row r="92" spans="1:245" x14ac:dyDescent="0.2">
      <c r="A92">
        <v>17</v>
      </c>
      <c r="B92">
        <v>1</v>
      </c>
      <c r="C92">
        <f>ROW(SmtRes!A88)</f>
        <v>88</v>
      </c>
      <c r="D92">
        <f>ROW(EtalonRes!A82)</f>
        <v>82</v>
      </c>
      <c r="E92" t="s">
        <v>218</v>
      </c>
      <c r="F92" t="s">
        <v>219</v>
      </c>
      <c r="G92" t="s">
        <v>220</v>
      </c>
      <c r="H92" t="s">
        <v>112</v>
      </c>
      <c r="I92">
        <v>1</v>
      </c>
      <c r="J92">
        <v>0</v>
      </c>
      <c r="O92">
        <f>ROUND(CP92,2)</f>
        <v>1635.16</v>
      </c>
      <c r="P92">
        <f>ROUND(CQ92*I92,2)</f>
        <v>0</v>
      </c>
      <c r="Q92">
        <f>ROUND(CR92*I92,2)</f>
        <v>632.17999999999995</v>
      </c>
      <c r="R92">
        <f>ROUND(CS92*I92,2)</f>
        <v>223.43</v>
      </c>
      <c r="S92">
        <f>ROUND(CT92*I92,2)</f>
        <v>1002.98</v>
      </c>
      <c r="T92">
        <f>ROUND(CU92*I92,2)</f>
        <v>0</v>
      </c>
      <c r="U92">
        <f>CV92*I92</f>
        <v>3.9143999999999997</v>
      </c>
      <c r="V92">
        <f>CW92*I92</f>
        <v>0.68879999999999997</v>
      </c>
      <c r="W92">
        <f>ROUND(CX92*I92,2)</f>
        <v>0</v>
      </c>
      <c r="X92">
        <f t="shared" ref="X92:Y96" si="68">ROUND(CY92,2)</f>
        <v>993.39</v>
      </c>
      <c r="Y92">
        <f t="shared" si="68"/>
        <v>637.73</v>
      </c>
      <c r="AA92">
        <v>35891596</v>
      </c>
      <c r="AB92">
        <f>ROUND((AC92+AD92+AF92),2)</f>
        <v>107.1</v>
      </c>
      <c r="AC92">
        <f>ROUND(((ES92*0)),2)</f>
        <v>0</v>
      </c>
      <c r="AD92">
        <f>ROUND((((((ET92*0.7)*1.2))-(((EU92*0.7)*1.2)))+AE92),2)</f>
        <v>68.27</v>
      </c>
      <c r="AE92">
        <f t="shared" ref="AE92:AF96" si="69">ROUND((((EU92*0.7)*1.2)),2)</f>
        <v>8.65</v>
      </c>
      <c r="AF92">
        <f t="shared" si="69"/>
        <v>38.83</v>
      </c>
      <c r="AG92">
        <f>ROUND((AP92),2)</f>
        <v>0</v>
      </c>
      <c r="AH92">
        <f t="shared" ref="AH92:AI96" si="70">(((EW92*0.7)*1.2))</f>
        <v>3.9143999999999997</v>
      </c>
      <c r="AI92">
        <f t="shared" si="70"/>
        <v>0.68879999999999997</v>
      </c>
      <c r="AJ92">
        <f>ROUND((AS92),2)</f>
        <v>0</v>
      </c>
      <c r="AK92">
        <v>478.57</v>
      </c>
      <c r="AL92">
        <v>351.06</v>
      </c>
      <c r="AM92">
        <v>81.28</v>
      </c>
      <c r="AN92">
        <v>10.3</v>
      </c>
      <c r="AO92">
        <v>46.23</v>
      </c>
      <c r="AP92">
        <v>0</v>
      </c>
      <c r="AQ92">
        <v>4.66</v>
      </c>
      <c r="AR92">
        <v>0.82</v>
      </c>
      <c r="AS92">
        <v>0</v>
      </c>
      <c r="AT92">
        <v>81</v>
      </c>
      <c r="AU92">
        <v>52</v>
      </c>
      <c r="AV92">
        <v>1</v>
      </c>
      <c r="AW92">
        <v>1</v>
      </c>
      <c r="AZ92">
        <v>1</v>
      </c>
      <c r="BA92">
        <v>25.83</v>
      </c>
      <c r="BB92">
        <v>9.26</v>
      </c>
      <c r="BC92">
        <v>4.12</v>
      </c>
      <c r="BD92" t="s">
        <v>3</v>
      </c>
      <c r="BE92" t="s">
        <v>3</v>
      </c>
      <c r="BF92" t="s">
        <v>3</v>
      </c>
      <c r="BG92" t="s">
        <v>3</v>
      </c>
      <c r="BH92">
        <v>0</v>
      </c>
      <c r="BI92">
        <v>2</v>
      </c>
      <c r="BJ92" t="s">
        <v>221</v>
      </c>
      <c r="BM92">
        <v>108001</v>
      </c>
      <c r="BN92">
        <v>0</v>
      </c>
      <c r="BO92" t="s">
        <v>219</v>
      </c>
      <c r="BP92">
        <v>1</v>
      </c>
      <c r="BQ92">
        <v>3</v>
      </c>
      <c r="BR92">
        <v>0</v>
      </c>
      <c r="BS92">
        <v>25.83</v>
      </c>
      <c r="BT92">
        <v>1</v>
      </c>
      <c r="BU92">
        <v>1</v>
      </c>
      <c r="BV92">
        <v>1</v>
      </c>
      <c r="BW92">
        <v>1</v>
      </c>
      <c r="BX92">
        <v>1</v>
      </c>
      <c r="BY92" t="s">
        <v>3</v>
      </c>
      <c r="BZ92">
        <v>95</v>
      </c>
      <c r="CA92">
        <v>65</v>
      </c>
      <c r="CF92">
        <v>0</v>
      </c>
      <c r="CG92">
        <v>0</v>
      </c>
      <c r="CM92">
        <v>0</v>
      </c>
      <c r="CN92" t="s">
        <v>473</v>
      </c>
      <c r="CO92">
        <v>0</v>
      </c>
      <c r="CP92">
        <f>(P92+Q92+S92)</f>
        <v>1635.1599999999999</v>
      </c>
      <c r="CQ92">
        <f>AC92*BC92</f>
        <v>0</v>
      </c>
      <c r="CR92">
        <f>AD92*BB92</f>
        <v>632.1801999999999</v>
      </c>
      <c r="CS92">
        <f>AE92*BS92</f>
        <v>223.42949999999999</v>
      </c>
      <c r="CT92">
        <f>AF92*BA92</f>
        <v>1002.9788999999998</v>
      </c>
      <c r="CU92">
        <f t="shared" ref="CU92:CX96" si="71">AG92</f>
        <v>0</v>
      </c>
      <c r="CV92">
        <f t="shared" si="71"/>
        <v>3.9143999999999997</v>
      </c>
      <c r="CW92">
        <f t="shared" si="71"/>
        <v>0.68879999999999997</v>
      </c>
      <c r="CX92">
        <f t="shared" si="71"/>
        <v>0</v>
      </c>
      <c r="CY92">
        <f>(((S92+R92)*AT92)/100)</f>
        <v>993.39210000000003</v>
      </c>
      <c r="CZ92">
        <f>(((S92+R92)*AU92)/100)</f>
        <v>637.73320000000012</v>
      </c>
      <c r="DC92" t="s">
        <v>3</v>
      </c>
      <c r="DD92" t="s">
        <v>222</v>
      </c>
      <c r="DE92" t="s">
        <v>223</v>
      </c>
      <c r="DF92" t="s">
        <v>223</v>
      </c>
      <c r="DG92" t="s">
        <v>223</v>
      </c>
      <c r="DH92" t="s">
        <v>3</v>
      </c>
      <c r="DI92" t="s">
        <v>223</v>
      </c>
      <c r="DJ92" t="s">
        <v>223</v>
      </c>
      <c r="DK92" t="s">
        <v>3</v>
      </c>
      <c r="DL92" t="s">
        <v>3</v>
      </c>
      <c r="DM92" t="s">
        <v>3</v>
      </c>
      <c r="DN92">
        <v>0</v>
      </c>
      <c r="DO92">
        <v>0</v>
      </c>
      <c r="DP92">
        <v>1</v>
      </c>
      <c r="DQ92">
        <v>1</v>
      </c>
      <c r="DU92">
        <v>1013</v>
      </c>
      <c r="DV92" t="s">
        <v>112</v>
      </c>
      <c r="DW92" t="s">
        <v>112</v>
      </c>
      <c r="DX92">
        <v>1</v>
      </c>
      <c r="EE92">
        <v>31265967</v>
      </c>
      <c r="EF92">
        <v>3</v>
      </c>
      <c r="EG92" t="s">
        <v>75</v>
      </c>
      <c r="EH92">
        <v>0</v>
      </c>
      <c r="EI92" t="s">
        <v>3</v>
      </c>
      <c r="EJ92">
        <v>2</v>
      </c>
      <c r="EK92">
        <v>108001</v>
      </c>
      <c r="EL92" t="s">
        <v>76</v>
      </c>
      <c r="EM92" t="s">
        <v>77</v>
      </c>
      <c r="EO92" t="s">
        <v>224</v>
      </c>
      <c r="EQ92">
        <v>512</v>
      </c>
      <c r="ER92">
        <v>478.57</v>
      </c>
      <c r="ES92">
        <v>351.06</v>
      </c>
      <c r="ET92">
        <v>81.28</v>
      </c>
      <c r="EU92">
        <v>10.3</v>
      </c>
      <c r="EV92">
        <v>46.23</v>
      </c>
      <c r="EW92">
        <v>4.66</v>
      </c>
      <c r="EX92">
        <v>0.82</v>
      </c>
      <c r="EY92">
        <v>0</v>
      </c>
      <c r="FQ92">
        <v>0</v>
      </c>
      <c r="FR92">
        <f t="shared" ref="FR92:FR101" si="72">ROUND(IF(AND(BH92=3,BI92=3),P92,0),2)</f>
        <v>0</v>
      </c>
      <c r="FS92">
        <v>0</v>
      </c>
      <c r="FV92" t="s">
        <v>45</v>
      </c>
      <c r="FW92" t="s">
        <v>46</v>
      </c>
      <c r="FX92">
        <v>95</v>
      </c>
      <c r="FY92">
        <v>65</v>
      </c>
      <c r="GA92" t="s">
        <v>3</v>
      </c>
      <c r="GD92">
        <v>0</v>
      </c>
      <c r="GF92">
        <v>-1590273150</v>
      </c>
      <c r="GG92">
        <v>2</v>
      </c>
      <c r="GH92">
        <v>1</v>
      </c>
      <c r="GI92">
        <v>2</v>
      </c>
      <c r="GJ92">
        <v>0</v>
      </c>
      <c r="GK92">
        <f>ROUND(R92*(R12)/100,2)</f>
        <v>0</v>
      </c>
      <c r="GL92">
        <f t="shared" ref="GL92:GL101" si="73">ROUND(IF(AND(BH92=3,BI92=3,FS92&lt;&gt;0),P92,0),2)</f>
        <v>0</v>
      </c>
      <c r="GM92">
        <f>ROUND(O92+X92+Y92+GK92,2)+GX92</f>
        <v>3266.28</v>
      </c>
      <c r="GN92">
        <f>IF(OR(BI92=0,BI92=1),ROUND(O92+X92+Y92+GK92,2),0)</f>
        <v>0</v>
      </c>
      <c r="GO92">
        <f>IF(BI92=2,ROUND(O92+X92+Y92+GK92,2),0)</f>
        <v>3266.28</v>
      </c>
      <c r="GP92">
        <f>IF(BI92=4,ROUND(O92+X92+Y92+GK92,2)+GX92,0)</f>
        <v>0</v>
      </c>
      <c r="GR92">
        <v>0</v>
      </c>
      <c r="GS92">
        <v>3</v>
      </c>
      <c r="GT92">
        <v>0</v>
      </c>
      <c r="GU92" t="s">
        <v>3</v>
      </c>
      <c r="GV92">
        <f>ROUND(GT92,2)</f>
        <v>0</v>
      </c>
      <c r="GW92">
        <v>1</v>
      </c>
      <c r="GX92">
        <f t="shared" ref="GX92:GX101" si="74">ROUND(GV92*GW92*I92,2)</f>
        <v>0</v>
      </c>
      <c r="HA92">
        <v>0</v>
      </c>
      <c r="HB92">
        <v>0</v>
      </c>
      <c r="IK92">
        <v>0</v>
      </c>
    </row>
    <row r="93" spans="1:245" x14ac:dyDescent="0.2">
      <c r="A93">
        <v>17</v>
      </c>
      <c r="B93">
        <v>1</v>
      </c>
      <c r="C93">
        <f>ROW(SmtRes!A90)</f>
        <v>90</v>
      </c>
      <c r="D93">
        <f>ROW(EtalonRes!A84)</f>
        <v>84</v>
      </c>
      <c r="E93" t="s">
        <v>225</v>
      </c>
      <c r="F93" t="s">
        <v>127</v>
      </c>
      <c r="G93" t="s">
        <v>226</v>
      </c>
      <c r="H93" t="s">
        <v>129</v>
      </c>
      <c r="I93">
        <f>ROUND(8/100,9)</f>
        <v>0.08</v>
      </c>
      <c r="J93">
        <v>0</v>
      </c>
      <c r="O93">
        <f>ROUND(CP93,2)</f>
        <v>252.47</v>
      </c>
      <c r="P93">
        <f>ROUND(CQ93*I93,2)</f>
        <v>0</v>
      </c>
      <c r="Q93">
        <f>ROUND(CR93*I93,2)</f>
        <v>0</v>
      </c>
      <c r="R93">
        <f>ROUND(CS93*I93,2)</f>
        <v>0</v>
      </c>
      <c r="S93">
        <f>ROUND(CT93*I93,2)</f>
        <v>252.47</v>
      </c>
      <c r="T93">
        <f>ROUND(CU93*I93,2)</f>
        <v>0</v>
      </c>
      <c r="U93">
        <f>CV93*I93</f>
        <v>1.0160639999999999</v>
      </c>
      <c r="V93">
        <f>CW93*I93</f>
        <v>0</v>
      </c>
      <c r="W93">
        <f>ROUND(CX93*I93,2)</f>
        <v>0</v>
      </c>
      <c r="X93">
        <f t="shared" si="68"/>
        <v>204.5</v>
      </c>
      <c r="Y93">
        <f t="shared" si="68"/>
        <v>131.28</v>
      </c>
      <c r="AA93">
        <v>35891596</v>
      </c>
      <c r="AB93">
        <f>ROUND((AC93+AD93+AF93),2)</f>
        <v>122.18</v>
      </c>
      <c r="AC93">
        <f>ROUND(((ES93*0)),2)</f>
        <v>0</v>
      </c>
      <c r="AD93">
        <f>ROUND((((((ET93*0.7)*1.2))-(((EU93*0.7)*1.2)))+AE93),2)</f>
        <v>0</v>
      </c>
      <c r="AE93">
        <f t="shared" si="69"/>
        <v>0</v>
      </c>
      <c r="AF93">
        <f t="shared" si="69"/>
        <v>122.18</v>
      </c>
      <c r="AG93">
        <f>ROUND((AP93),2)</f>
        <v>0</v>
      </c>
      <c r="AH93">
        <f t="shared" si="70"/>
        <v>12.700799999999999</v>
      </c>
      <c r="AI93">
        <f t="shared" si="70"/>
        <v>0</v>
      </c>
      <c r="AJ93">
        <f>ROUND((AS93),2)</f>
        <v>0</v>
      </c>
      <c r="AK93">
        <v>148.36000000000001</v>
      </c>
      <c r="AL93">
        <v>2.91</v>
      </c>
      <c r="AM93">
        <v>0</v>
      </c>
      <c r="AN93">
        <v>0</v>
      </c>
      <c r="AO93">
        <v>145.44999999999999</v>
      </c>
      <c r="AP93">
        <v>0</v>
      </c>
      <c r="AQ93">
        <v>15.12</v>
      </c>
      <c r="AR93">
        <v>0</v>
      </c>
      <c r="AS93">
        <v>0</v>
      </c>
      <c r="AT93">
        <v>81</v>
      </c>
      <c r="AU93">
        <v>52</v>
      </c>
      <c r="AV93">
        <v>1</v>
      </c>
      <c r="AW93">
        <v>1</v>
      </c>
      <c r="AZ93">
        <v>1</v>
      </c>
      <c r="BA93">
        <v>25.83</v>
      </c>
      <c r="BB93">
        <v>1</v>
      </c>
      <c r="BC93">
        <v>25.82</v>
      </c>
      <c r="BD93" t="s">
        <v>3</v>
      </c>
      <c r="BE93" t="s">
        <v>3</v>
      </c>
      <c r="BF93" t="s">
        <v>3</v>
      </c>
      <c r="BG93" t="s">
        <v>3</v>
      </c>
      <c r="BH93">
        <v>0</v>
      </c>
      <c r="BI93">
        <v>2</v>
      </c>
      <c r="BJ93" t="s">
        <v>130</v>
      </c>
      <c r="BM93">
        <v>108001</v>
      </c>
      <c r="BN93">
        <v>0</v>
      </c>
      <c r="BO93" t="s">
        <v>127</v>
      </c>
      <c r="BP93">
        <v>1</v>
      </c>
      <c r="BQ93">
        <v>3</v>
      </c>
      <c r="BR93">
        <v>0</v>
      </c>
      <c r="BS93">
        <v>25.83</v>
      </c>
      <c r="BT93">
        <v>1</v>
      </c>
      <c r="BU93">
        <v>1</v>
      </c>
      <c r="BV93">
        <v>1</v>
      </c>
      <c r="BW93">
        <v>1</v>
      </c>
      <c r="BX93">
        <v>1</v>
      </c>
      <c r="BY93" t="s">
        <v>3</v>
      </c>
      <c r="BZ93">
        <v>95</v>
      </c>
      <c r="CA93">
        <v>65</v>
      </c>
      <c r="CF93">
        <v>0</v>
      </c>
      <c r="CG93">
        <v>0</v>
      </c>
      <c r="CM93">
        <v>0</v>
      </c>
      <c r="CN93" t="s">
        <v>473</v>
      </c>
      <c r="CO93">
        <v>0</v>
      </c>
      <c r="CP93">
        <f>(P93+Q93+S93)</f>
        <v>252.47</v>
      </c>
      <c r="CQ93">
        <f>AC93*BC93</f>
        <v>0</v>
      </c>
      <c r="CR93">
        <f>AD93*BB93</f>
        <v>0</v>
      </c>
      <c r="CS93">
        <f>AE93*BS93</f>
        <v>0</v>
      </c>
      <c r="CT93">
        <f>AF93*BA93</f>
        <v>3155.9094</v>
      </c>
      <c r="CU93">
        <f t="shared" si="71"/>
        <v>0</v>
      </c>
      <c r="CV93">
        <f t="shared" si="71"/>
        <v>12.700799999999999</v>
      </c>
      <c r="CW93">
        <f t="shared" si="71"/>
        <v>0</v>
      </c>
      <c r="CX93">
        <f t="shared" si="71"/>
        <v>0</v>
      </c>
      <c r="CY93">
        <f>(((S93+R93)*AT93)/100)</f>
        <v>204.50069999999999</v>
      </c>
      <c r="CZ93">
        <f>(((S93+R93)*AU93)/100)</f>
        <v>131.28440000000001</v>
      </c>
      <c r="DC93" t="s">
        <v>3</v>
      </c>
      <c r="DD93" t="s">
        <v>222</v>
      </c>
      <c r="DE93" t="s">
        <v>223</v>
      </c>
      <c r="DF93" t="s">
        <v>223</v>
      </c>
      <c r="DG93" t="s">
        <v>223</v>
      </c>
      <c r="DH93" t="s">
        <v>3</v>
      </c>
      <c r="DI93" t="s">
        <v>223</v>
      </c>
      <c r="DJ93" t="s">
        <v>223</v>
      </c>
      <c r="DK93" t="s">
        <v>3</v>
      </c>
      <c r="DL93" t="s">
        <v>3</v>
      </c>
      <c r="DM93" t="s">
        <v>3</v>
      </c>
      <c r="DN93">
        <v>0</v>
      </c>
      <c r="DO93">
        <v>0</v>
      </c>
      <c r="DP93">
        <v>1</v>
      </c>
      <c r="DQ93">
        <v>1</v>
      </c>
      <c r="DU93">
        <v>1013</v>
      </c>
      <c r="DV93" t="s">
        <v>129</v>
      </c>
      <c r="DW93" t="s">
        <v>129</v>
      </c>
      <c r="DX93">
        <v>1</v>
      </c>
      <c r="EE93">
        <v>31265967</v>
      </c>
      <c r="EF93">
        <v>3</v>
      </c>
      <c r="EG93" t="s">
        <v>75</v>
      </c>
      <c r="EH93">
        <v>0</v>
      </c>
      <c r="EI93" t="s">
        <v>3</v>
      </c>
      <c r="EJ93">
        <v>2</v>
      </c>
      <c r="EK93">
        <v>108001</v>
      </c>
      <c r="EL93" t="s">
        <v>76</v>
      </c>
      <c r="EM93" t="s">
        <v>77</v>
      </c>
      <c r="EO93" t="s">
        <v>224</v>
      </c>
      <c r="EQ93">
        <v>512</v>
      </c>
      <c r="ER93">
        <v>148.36000000000001</v>
      </c>
      <c r="ES93">
        <v>2.91</v>
      </c>
      <c r="ET93">
        <v>0</v>
      </c>
      <c r="EU93">
        <v>0</v>
      </c>
      <c r="EV93">
        <v>145.44999999999999</v>
      </c>
      <c r="EW93">
        <v>15.12</v>
      </c>
      <c r="EX93">
        <v>0</v>
      </c>
      <c r="EY93">
        <v>0</v>
      </c>
      <c r="FQ93">
        <v>0</v>
      </c>
      <c r="FR93">
        <f t="shared" si="72"/>
        <v>0</v>
      </c>
      <c r="FS93">
        <v>0</v>
      </c>
      <c r="FV93" t="s">
        <v>45</v>
      </c>
      <c r="FW93" t="s">
        <v>46</v>
      </c>
      <c r="FX93">
        <v>95</v>
      </c>
      <c r="FY93">
        <v>65</v>
      </c>
      <c r="GA93" t="s">
        <v>3</v>
      </c>
      <c r="GD93">
        <v>0</v>
      </c>
      <c r="GF93">
        <v>-946135642</v>
      </c>
      <c r="GG93">
        <v>2</v>
      </c>
      <c r="GH93">
        <v>1</v>
      </c>
      <c r="GI93">
        <v>2</v>
      </c>
      <c r="GJ93">
        <v>0</v>
      </c>
      <c r="GK93">
        <f>ROUND(R93*(R12)/100,2)</f>
        <v>0</v>
      </c>
      <c r="GL93">
        <f t="shared" si="73"/>
        <v>0</v>
      </c>
      <c r="GM93">
        <f>ROUND(O93+X93+Y93+GK93,2)+GX93</f>
        <v>588.25</v>
      </c>
      <c r="GN93">
        <f>IF(OR(BI93=0,BI93=1),ROUND(O93+X93+Y93+GK93,2),0)</f>
        <v>0</v>
      </c>
      <c r="GO93">
        <f>IF(BI93=2,ROUND(O93+X93+Y93+GK93,2),0)</f>
        <v>588.25</v>
      </c>
      <c r="GP93">
        <f>IF(BI93=4,ROUND(O93+X93+Y93+GK93,2)+GX93,0)</f>
        <v>0</v>
      </c>
      <c r="GR93">
        <v>0</v>
      </c>
      <c r="GS93">
        <v>3</v>
      </c>
      <c r="GT93">
        <v>0</v>
      </c>
      <c r="GU93" t="s">
        <v>3</v>
      </c>
      <c r="GV93">
        <f>ROUND(GT93,2)</f>
        <v>0</v>
      </c>
      <c r="GW93">
        <v>1</v>
      </c>
      <c r="GX93">
        <f t="shared" si="74"/>
        <v>0</v>
      </c>
      <c r="HA93">
        <v>0</v>
      </c>
      <c r="HB93">
        <v>0</v>
      </c>
      <c r="IK93">
        <v>0</v>
      </c>
    </row>
    <row r="94" spans="1:245" x14ac:dyDescent="0.2">
      <c r="A94">
        <v>17</v>
      </c>
      <c r="B94">
        <v>1</v>
      </c>
      <c r="C94">
        <f>ROW(SmtRes!A96)</f>
        <v>96</v>
      </c>
      <c r="D94">
        <f>ROW(EtalonRes!A92)</f>
        <v>92</v>
      </c>
      <c r="E94" t="s">
        <v>227</v>
      </c>
      <c r="F94" t="s">
        <v>228</v>
      </c>
      <c r="G94" t="s">
        <v>229</v>
      </c>
      <c r="H94" t="s">
        <v>129</v>
      </c>
      <c r="I94">
        <f>ROUND((5/100)*1,9)</f>
        <v>0.05</v>
      </c>
      <c r="J94">
        <v>0</v>
      </c>
      <c r="O94">
        <f>ROUND(CP94,2)</f>
        <v>1156.95</v>
      </c>
      <c r="P94">
        <f>ROUND(CQ94*I94,2)</f>
        <v>0</v>
      </c>
      <c r="Q94">
        <f>ROUND(CR94*I94,2)</f>
        <v>827.14</v>
      </c>
      <c r="R94">
        <f>ROUND(CS94*I94,2)</f>
        <v>305.04000000000002</v>
      </c>
      <c r="S94">
        <f>ROUND(CT94*I94,2)</f>
        <v>329.81</v>
      </c>
      <c r="T94">
        <f>ROUND(CU94*I94,2)</f>
        <v>0</v>
      </c>
      <c r="U94">
        <f>CV94*I94</f>
        <v>1.49688</v>
      </c>
      <c r="V94">
        <f>CW94*I94</f>
        <v>0.94416</v>
      </c>
      <c r="W94">
        <f>ROUND(CX94*I94,2)</f>
        <v>0</v>
      </c>
      <c r="X94">
        <f t="shared" si="68"/>
        <v>488.83</v>
      </c>
      <c r="Y94">
        <f t="shared" si="68"/>
        <v>431.7</v>
      </c>
      <c r="AA94">
        <v>35891596</v>
      </c>
      <c r="AB94">
        <f>ROUND((AC94+AD94+AF94),2)</f>
        <v>3137.38</v>
      </c>
      <c r="AC94">
        <f>ROUND(((ES94*0)),2)</f>
        <v>0</v>
      </c>
      <c r="AD94">
        <f>ROUND((((((ET94*0.7)*1.2))-(((EU94*0.7)*1.2)))+AE94),2)</f>
        <v>2882.01</v>
      </c>
      <c r="AE94">
        <f t="shared" si="69"/>
        <v>236.19</v>
      </c>
      <c r="AF94">
        <f t="shared" si="69"/>
        <v>255.37</v>
      </c>
      <c r="AG94">
        <f>ROUND((AP94),2)</f>
        <v>0</v>
      </c>
      <c r="AH94">
        <f t="shared" si="70"/>
        <v>29.9376</v>
      </c>
      <c r="AI94">
        <f t="shared" si="70"/>
        <v>18.883199999999999</v>
      </c>
      <c r="AJ94">
        <f>ROUND((AS94),2)</f>
        <v>0</v>
      </c>
      <c r="AK94">
        <v>3968.08</v>
      </c>
      <c r="AL94">
        <v>233.1</v>
      </c>
      <c r="AM94">
        <v>3430.97</v>
      </c>
      <c r="AN94">
        <v>281.18</v>
      </c>
      <c r="AO94">
        <v>304.01</v>
      </c>
      <c r="AP94">
        <v>0</v>
      </c>
      <c r="AQ94">
        <v>35.64</v>
      </c>
      <c r="AR94">
        <v>22.48</v>
      </c>
      <c r="AS94">
        <v>0</v>
      </c>
      <c r="AT94">
        <v>77</v>
      </c>
      <c r="AU94">
        <v>68</v>
      </c>
      <c r="AV94">
        <v>1</v>
      </c>
      <c r="AW94">
        <v>1</v>
      </c>
      <c r="AZ94">
        <v>1</v>
      </c>
      <c r="BA94">
        <v>25.83</v>
      </c>
      <c r="BB94">
        <v>5.74</v>
      </c>
      <c r="BC94">
        <v>4.49</v>
      </c>
      <c r="BD94" t="s">
        <v>3</v>
      </c>
      <c r="BE94" t="s">
        <v>3</v>
      </c>
      <c r="BF94" t="s">
        <v>3</v>
      </c>
      <c r="BG94" t="s">
        <v>3</v>
      </c>
      <c r="BH94">
        <v>0</v>
      </c>
      <c r="BI94">
        <v>1</v>
      </c>
      <c r="BJ94" t="s">
        <v>230</v>
      </c>
      <c r="BM94">
        <v>9001</v>
      </c>
      <c r="BN94">
        <v>0</v>
      </c>
      <c r="BO94" t="s">
        <v>228</v>
      </c>
      <c r="BP94">
        <v>1</v>
      </c>
      <c r="BQ94">
        <v>2</v>
      </c>
      <c r="BR94">
        <v>0</v>
      </c>
      <c r="BS94">
        <v>25.83</v>
      </c>
      <c r="BT94">
        <v>1</v>
      </c>
      <c r="BU94">
        <v>1</v>
      </c>
      <c r="BV94">
        <v>1</v>
      </c>
      <c r="BW94">
        <v>1</v>
      </c>
      <c r="BX94">
        <v>1</v>
      </c>
      <c r="BY94" t="s">
        <v>3</v>
      </c>
      <c r="BZ94">
        <v>90</v>
      </c>
      <c r="CA94">
        <v>85</v>
      </c>
      <c r="CF94">
        <v>0</v>
      </c>
      <c r="CG94">
        <v>0</v>
      </c>
      <c r="CM94">
        <v>0</v>
      </c>
      <c r="CN94" t="s">
        <v>474</v>
      </c>
      <c r="CO94">
        <v>0</v>
      </c>
      <c r="CP94">
        <f>(P94+Q94+S94)</f>
        <v>1156.95</v>
      </c>
      <c r="CQ94">
        <f>AC94*BC94</f>
        <v>0</v>
      </c>
      <c r="CR94">
        <f>AD94*BB94</f>
        <v>16542.737400000002</v>
      </c>
      <c r="CS94">
        <f>AE94*BS94</f>
        <v>6100.7876999999999</v>
      </c>
      <c r="CT94">
        <f>AF94*BA94</f>
        <v>6596.2070999999996</v>
      </c>
      <c r="CU94">
        <f t="shared" si="71"/>
        <v>0</v>
      </c>
      <c r="CV94">
        <f t="shared" si="71"/>
        <v>29.9376</v>
      </c>
      <c r="CW94">
        <f t="shared" si="71"/>
        <v>18.883199999999999</v>
      </c>
      <c r="CX94">
        <f t="shared" si="71"/>
        <v>0</v>
      </c>
      <c r="CY94">
        <f>(((S94+R94)*AT94)/100)</f>
        <v>488.83450000000005</v>
      </c>
      <c r="CZ94">
        <f>(((S94+R94)*AU94)/100)</f>
        <v>431.69800000000004</v>
      </c>
      <c r="DC94" t="s">
        <v>3</v>
      </c>
      <c r="DD94" t="s">
        <v>222</v>
      </c>
      <c r="DE94" t="s">
        <v>223</v>
      </c>
      <c r="DF94" t="s">
        <v>223</v>
      </c>
      <c r="DG94" t="s">
        <v>223</v>
      </c>
      <c r="DH94" t="s">
        <v>3</v>
      </c>
      <c r="DI94" t="s">
        <v>223</v>
      </c>
      <c r="DJ94" t="s">
        <v>223</v>
      </c>
      <c r="DK94" t="s">
        <v>3</v>
      </c>
      <c r="DL94" t="s">
        <v>3</v>
      </c>
      <c r="DM94" t="s">
        <v>3</v>
      </c>
      <c r="DN94">
        <v>0</v>
      </c>
      <c r="DO94">
        <v>0</v>
      </c>
      <c r="DP94">
        <v>1</v>
      </c>
      <c r="DQ94">
        <v>1</v>
      </c>
      <c r="DU94">
        <v>1013</v>
      </c>
      <c r="DV94" t="s">
        <v>129</v>
      </c>
      <c r="DW94" t="s">
        <v>129</v>
      </c>
      <c r="DX94">
        <v>1</v>
      </c>
      <c r="EE94">
        <v>31265845</v>
      </c>
      <c r="EF94">
        <v>2</v>
      </c>
      <c r="EG94" t="s">
        <v>41</v>
      </c>
      <c r="EH94">
        <v>0</v>
      </c>
      <c r="EI94" t="s">
        <v>3</v>
      </c>
      <c r="EJ94">
        <v>1</v>
      </c>
      <c r="EK94">
        <v>9001</v>
      </c>
      <c r="EL94" t="s">
        <v>231</v>
      </c>
      <c r="EM94" t="s">
        <v>232</v>
      </c>
      <c r="EO94" t="s">
        <v>233</v>
      </c>
      <c r="EQ94">
        <v>512</v>
      </c>
      <c r="ER94">
        <v>3968.08</v>
      </c>
      <c r="ES94">
        <v>233.1</v>
      </c>
      <c r="ET94">
        <v>3430.97</v>
      </c>
      <c r="EU94">
        <v>281.18</v>
      </c>
      <c r="EV94">
        <v>304.01</v>
      </c>
      <c r="EW94">
        <v>35.64</v>
      </c>
      <c r="EX94">
        <v>22.48</v>
      </c>
      <c r="EY94">
        <v>0</v>
      </c>
      <c r="FQ94">
        <v>0</v>
      </c>
      <c r="FR94">
        <f t="shared" si="72"/>
        <v>0</v>
      </c>
      <c r="FS94">
        <v>0</v>
      </c>
      <c r="FV94" t="s">
        <v>45</v>
      </c>
      <c r="FW94" t="s">
        <v>46</v>
      </c>
      <c r="FX94">
        <v>90</v>
      </c>
      <c r="FY94">
        <v>85</v>
      </c>
      <c r="GA94" t="s">
        <v>3</v>
      </c>
      <c r="GD94">
        <v>0</v>
      </c>
      <c r="GF94">
        <v>-1904743223</v>
      </c>
      <c r="GG94">
        <v>2</v>
      </c>
      <c r="GH94">
        <v>1</v>
      </c>
      <c r="GI94">
        <v>2</v>
      </c>
      <c r="GJ94">
        <v>0</v>
      </c>
      <c r="GK94">
        <f>ROUND(R94*(R12)/100,2)</f>
        <v>0</v>
      </c>
      <c r="GL94">
        <f t="shared" si="73"/>
        <v>0</v>
      </c>
      <c r="GM94">
        <f>ROUND(O94+X94+Y94+GK94,2)+GX94</f>
        <v>2077.48</v>
      </c>
      <c r="GN94">
        <f>IF(OR(BI94=0,BI94=1),ROUND(O94+X94+Y94+GK94,2),0)</f>
        <v>2077.48</v>
      </c>
      <c r="GO94">
        <f>IF(BI94=2,ROUND(O94+X94+Y94+GK94,2),0)</f>
        <v>0</v>
      </c>
      <c r="GP94">
        <f>IF(BI94=4,ROUND(O94+X94+Y94+GK94,2)+GX94,0)</f>
        <v>0</v>
      </c>
      <c r="GR94">
        <v>0</v>
      </c>
      <c r="GS94">
        <v>3</v>
      </c>
      <c r="GT94">
        <v>0</v>
      </c>
      <c r="GU94" t="s">
        <v>3</v>
      </c>
      <c r="GV94">
        <f>ROUND(GT94,2)</f>
        <v>0</v>
      </c>
      <c r="GW94">
        <v>1</v>
      </c>
      <c r="GX94">
        <f t="shared" si="74"/>
        <v>0</v>
      </c>
      <c r="HA94">
        <v>0</v>
      </c>
      <c r="HB94">
        <v>0</v>
      </c>
      <c r="IK94">
        <v>0</v>
      </c>
    </row>
    <row r="95" spans="1:245" x14ac:dyDescent="0.2">
      <c r="A95">
        <v>17</v>
      </c>
      <c r="B95">
        <v>1</v>
      </c>
      <c r="C95">
        <f>ROW(SmtRes!A100)</f>
        <v>100</v>
      </c>
      <c r="D95">
        <f>ROW(EtalonRes!A98)</f>
        <v>98</v>
      </c>
      <c r="E95" t="s">
        <v>234</v>
      </c>
      <c r="F95" t="s">
        <v>235</v>
      </c>
      <c r="G95" t="s">
        <v>236</v>
      </c>
      <c r="H95" t="s">
        <v>237</v>
      </c>
      <c r="I95">
        <f>ROUND((3/10)*1,9)</f>
        <v>0.3</v>
      </c>
      <c r="J95">
        <v>0</v>
      </c>
      <c r="O95">
        <f>ROUND(CP95,2)</f>
        <v>470.44</v>
      </c>
      <c r="P95">
        <f>ROUND(CQ95*I95,2)</f>
        <v>0</v>
      </c>
      <c r="Q95">
        <f>ROUND(CR95*I95,2)</f>
        <v>75.63</v>
      </c>
      <c r="R95">
        <f>ROUND(CS95*I95,2)</f>
        <v>51.38</v>
      </c>
      <c r="S95">
        <f>ROUND(CT95*I95,2)</f>
        <v>394.81</v>
      </c>
      <c r="T95">
        <f>ROUND(CU95*I95,2)</f>
        <v>0</v>
      </c>
      <c r="U95">
        <f>CV95*I95</f>
        <v>1.79172</v>
      </c>
      <c r="V95">
        <f>CW95*I95</f>
        <v>0.17135999999999998</v>
      </c>
      <c r="W95">
        <f>ROUND(CX95*I95,2)</f>
        <v>0</v>
      </c>
      <c r="X95">
        <f t="shared" si="68"/>
        <v>343.57</v>
      </c>
      <c r="Y95">
        <f t="shared" si="68"/>
        <v>303.41000000000003</v>
      </c>
      <c r="AA95">
        <v>35891596</v>
      </c>
      <c r="AB95">
        <f>ROUND((AC95+AD95+AF95),2)</f>
        <v>67.7</v>
      </c>
      <c r="AC95">
        <f>ROUND(((ES95*0)),2)</f>
        <v>0</v>
      </c>
      <c r="AD95">
        <f>ROUND((((((ET95*0.7)*1.2))-(((EU95*0.7)*1.2)))+AE95),2)</f>
        <v>16.75</v>
      </c>
      <c r="AE95">
        <f t="shared" si="69"/>
        <v>6.63</v>
      </c>
      <c r="AF95">
        <f t="shared" si="69"/>
        <v>50.95</v>
      </c>
      <c r="AG95">
        <f>ROUND((AP95),2)</f>
        <v>0</v>
      </c>
      <c r="AH95">
        <f t="shared" si="70"/>
        <v>5.9724000000000004</v>
      </c>
      <c r="AI95">
        <f t="shared" si="70"/>
        <v>0.57119999999999993</v>
      </c>
      <c r="AJ95">
        <f>ROUND((AS95),2)</f>
        <v>0</v>
      </c>
      <c r="AK95">
        <v>80.59</v>
      </c>
      <c r="AL95">
        <v>0</v>
      </c>
      <c r="AM95">
        <v>19.940000000000001</v>
      </c>
      <c r="AN95">
        <v>7.89</v>
      </c>
      <c r="AO95">
        <v>60.65</v>
      </c>
      <c r="AP95">
        <v>0</v>
      </c>
      <c r="AQ95">
        <v>7.11</v>
      </c>
      <c r="AR95">
        <v>0.68</v>
      </c>
      <c r="AS95">
        <v>0</v>
      </c>
      <c r="AT95">
        <v>77</v>
      </c>
      <c r="AU95">
        <v>68</v>
      </c>
      <c r="AV95">
        <v>1</v>
      </c>
      <c r="AW95">
        <v>1</v>
      </c>
      <c r="AZ95">
        <v>1</v>
      </c>
      <c r="BA95">
        <v>25.83</v>
      </c>
      <c r="BB95">
        <v>15.05</v>
      </c>
      <c r="BC95">
        <v>1</v>
      </c>
      <c r="BD95" t="s">
        <v>3</v>
      </c>
      <c r="BE95" t="s">
        <v>3</v>
      </c>
      <c r="BF95" t="s">
        <v>3</v>
      </c>
      <c r="BG95" t="s">
        <v>3</v>
      </c>
      <c r="BH95">
        <v>0</v>
      </c>
      <c r="BI95">
        <v>1</v>
      </c>
      <c r="BJ95" t="s">
        <v>238</v>
      </c>
      <c r="BM95">
        <v>9001</v>
      </c>
      <c r="BN95">
        <v>0</v>
      </c>
      <c r="BO95" t="s">
        <v>235</v>
      </c>
      <c r="BP95">
        <v>1</v>
      </c>
      <c r="BQ95">
        <v>2</v>
      </c>
      <c r="BR95">
        <v>0</v>
      </c>
      <c r="BS95">
        <v>25.83</v>
      </c>
      <c r="BT95">
        <v>1</v>
      </c>
      <c r="BU95">
        <v>1</v>
      </c>
      <c r="BV95">
        <v>1</v>
      </c>
      <c r="BW95">
        <v>1</v>
      </c>
      <c r="BX95">
        <v>1</v>
      </c>
      <c r="BY95" t="s">
        <v>3</v>
      </c>
      <c r="BZ95">
        <v>90</v>
      </c>
      <c r="CA95">
        <v>85</v>
      </c>
      <c r="CF95">
        <v>0</v>
      </c>
      <c r="CG95">
        <v>0</v>
      </c>
      <c r="CM95">
        <v>0</v>
      </c>
      <c r="CN95" t="s">
        <v>474</v>
      </c>
      <c r="CO95">
        <v>0</v>
      </c>
      <c r="CP95">
        <f>(P95+Q95+S95)</f>
        <v>470.44</v>
      </c>
      <c r="CQ95">
        <f>AC95*BC95</f>
        <v>0</v>
      </c>
      <c r="CR95">
        <f>AD95*BB95</f>
        <v>252.08750000000001</v>
      </c>
      <c r="CS95">
        <f>AE95*BS95</f>
        <v>171.25289999999998</v>
      </c>
      <c r="CT95">
        <f>AF95*BA95</f>
        <v>1316.0384999999999</v>
      </c>
      <c r="CU95">
        <f t="shared" si="71"/>
        <v>0</v>
      </c>
      <c r="CV95">
        <f t="shared" si="71"/>
        <v>5.9724000000000004</v>
      </c>
      <c r="CW95">
        <f t="shared" si="71"/>
        <v>0.57119999999999993</v>
      </c>
      <c r="CX95">
        <f t="shared" si="71"/>
        <v>0</v>
      </c>
      <c r="CY95">
        <f>(((S95+R95)*AT95)/100)</f>
        <v>343.56629999999996</v>
      </c>
      <c r="CZ95">
        <f>(((S95+R95)*AU95)/100)</f>
        <v>303.4092</v>
      </c>
      <c r="DC95" t="s">
        <v>3</v>
      </c>
      <c r="DD95" t="s">
        <v>222</v>
      </c>
      <c r="DE95" t="s">
        <v>223</v>
      </c>
      <c r="DF95" t="s">
        <v>223</v>
      </c>
      <c r="DG95" t="s">
        <v>223</v>
      </c>
      <c r="DH95" t="s">
        <v>3</v>
      </c>
      <c r="DI95" t="s">
        <v>223</v>
      </c>
      <c r="DJ95" t="s">
        <v>223</v>
      </c>
      <c r="DK95" t="s">
        <v>3</v>
      </c>
      <c r="DL95" t="s">
        <v>3</v>
      </c>
      <c r="DM95" t="s">
        <v>3</v>
      </c>
      <c r="DN95">
        <v>0</v>
      </c>
      <c r="DO95">
        <v>0</v>
      </c>
      <c r="DP95">
        <v>1</v>
      </c>
      <c r="DQ95">
        <v>1</v>
      </c>
      <c r="DU95">
        <v>1013</v>
      </c>
      <c r="DV95" t="s">
        <v>237</v>
      </c>
      <c r="DW95" t="s">
        <v>237</v>
      </c>
      <c r="DX95">
        <v>1</v>
      </c>
      <c r="EE95">
        <v>31265845</v>
      </c>
      <c r="EF95">
        <v>2</v>
      </c>
      <c r="EG95" t="s">
        <v>41</v>
      </c>
      <c r="EH95">
        <v>0</v>
      </c>
      <c r="EI95" t="s">
        <v>3</v>
      </c>
      <c r="EJ95">
        <v>1</v>
      </c>
      <c r="EK95">
        <v>9001</v>
      </c>
      <c r="EL95" t="s">
        <v>231</v>
      </c>
      <c r="EM95" t="s">
        <v>232</v>
      </c>
      <c r="EO95" t="s">
        <v>233</v>
      </c>
      <c r="EQ95">
        <v>512</v>
      </c>
      <c r="ER95">
        <v>80.59</v>
      </c>
      <c r="ES95">
        <v>0</v>
      </c>
      <c r="ET95">
        <v>19.940000000000001</v>
      </c>
      <c r="EU95">
        <v>7.89</v>
      </c>
      <c r="EV95">
        <v>60.65</v>
      </c>
      <c r="EW95">
        <v>7.11</v>
      </c>
      <c r="EX95">
        <v>0.68</v>
      </c>
      <c r="EY95">
        <v>0</v>
      </c>
      <c r="FQ95">
        <v>0</v>
      </c>
      <c r="FR95">
        <f t="shared" si="72"/>
        <v>0</v>
      </c>
      <c r="FS95">
        <v>0</v>
      </c>
      <c r="FV95" t="s">
        <v>45</v>
      </c>
      <c r="FW95" t="s">
        <v>46</v>
      </c>
      <c r="FX95">
        <v>90</v>
      </c>
      <c r="FY95">
        <v>85</v>
      </c>
      <c r="GA95" t="s">
        <v>3</v>
      </c>
      <c r="GD95">
        <v>0</v>
      </c>
      <c r="GF95">
        <v>1183919395</v>
      </c>
      <c r="GG95">
        <v>2</v>
      </c>
      <c r="GH95">
        <v>1</v>
      </c>
      <c r="GI95">
        <v>2</v>
      </c>
      <c r="GJ95">
        <v>0</v>
      </c>
      <c r="GK95">
        <f>ROUND(R95*(R12)/100,2)</f>
        <v>0</v>
      </c>
      <c r="GL95">
        <f t="shared" si="73"/>
        <v>0</v>
      </c>
      <c r="GM95">
        <f>ROUND(O95+X95+Y95+GK95,2)+GX95</f>
        <v>1117.42</v>
      </c>
      <c r="GN95">
        <f>IF(OR(BI95=0,BI95=1),ROUND(O95+X95+Y95+GK95,2),0)</f>
        <v>1117.42</v>
      </c>
      <c r="GO95">
        <f>IF(BI95=2,ROUND(O95+X95+Y95+GK95,2),0)</f>
        <v>0</v>
      </c>
      <c r="GP95">
        <f>IF(BI95=4,ROUND(O95+X95+Y95+GK95,2)+GX95,0)</f>
        <v>0</v>
      </c>
      <c r="GR95">
        <v>0</v>
      </c>
      <c r="GS95">
        <v>3</v>
      </c>
      <c r="GT95">
        <v>0</v>
      </c>
      <c r="GU95" t="s">
        <v>3</v>
      </c>
      <c r="GV95">
        <f>ROUND(GT95,2)</f>
        <v>0</v>
      </c>
      <c r="GW95">
        <v>1</v>
      </c>
      <c r="GX95">
        <f t="shared" si="74"/>
        <v>0</v>
      </c>
      <c r="HA95">
        <v>0</v>
      </c>
      <c r="HB95">
        <v>0</v>
      </c>
      <c r="IK95">
        <v>0</v>
      </c>
    </row>
    <row r="96" spans="1:245" x14ac:dyDescent="0.2">
      <c r="A96">
        <v>17</v>
      </c>
      <c r="B96">
        <v>1</v>
      </c>
      <c r="C96">
        <f>ROW(SmtRes!A104)</f>
        <v>104</v>
      </c>
      <c r="D96">
        <f>ROW(EtalonRes!A104)</f>
        <v>104</v>
      </c>
      <c r="E96" t="s">
        <v>239</v>
      </c>
      <c r="F96" t="s">
        <v>240</v>
      </c>
      <c r="G96" t="s">
        <v>241</v>
      </c>
      <c r="H96" t="s">
        <v>237</v>
      </c>
      <c r="I96">
        <f>ROUND((1/10)*1,9)</f>
        <v>0.1</v>
      </c>
      <c r="J96">
        <v>0</v>
      </c>
      <c r="O96">
        <f>ROUND(CP96,2)</f>
        <v>78.11</v>
      </c>
      <c r="P96">
        <f>ROUND(CQ96*I96,2)</f>
        <v>0</v>
      </c>
      <c r="Q96">
        <f>ROUND(CR96*I96,2)</f>
        <v>16.87</v>
      </c>
      <c r="R96">
        <f>ROUND(CS96*I96,2)</f>
        <v>10.07</v>
      </c>
      <c r="S96">
        <f>ROUND(CT96*I96,2)</f>
        <v>61.24</v>
      </c>
      <c r="T96">
        <f>ROUND(CU96*I96,2)</f>
        <v>0</v>
      </c>
      <c r="U96">
        <f>CV96*I96</f>
        <v>0.27804000000000001</v>
      </c>
      <c r="V96">
        <f>CW96*I96</f>
        <v>3.3599999999999998E-2</v>
      </c>
      <c r="W96">
        <f>ROUND(CX96*I96,2)</f>
        <v>0</v>
      </c>
      <c r="X96">
        <f t="shared" si="68"/>
        <v>54.91</v>
      </c>
      <c r="Y96">
        <f t="shared" si="68"/>
        <v>48.49</v>
      </c>
      <c r="AA96">
        <v>35891596</v>
      </c>
      <c r="AB96">
        <f>ROUND((AC96+AD96+AF96),2)</f>
        <v>35.58</v>
      </c>
      <c r="AC96">
        <f>ROUND(((ES96*0)),2)</f>
        <v>0</v>
      </c>
      <c r="AD96">
        <f>ROUND((((((ET96*0.7)*1.2))-(((EU96*0.7)*1.2)))+AE96),2)</f>
        <v>11.87</v>
      </c>
      <c r="AE96">
        <f t="shared" si="69"/>
        <v>3.9</v>
      </c>
      <c r="AF96">
        <f t="shared" si="69"/>
        <v>23.71</v>
      </c>
      <c r="AG96">
        <f>ROUND((AP96),2)</f>
        <v>0</v>
      </c>
      <c r="AH96">
        <f t="shared" si="70"/>
        <v>2.7803999999999998</v>
      </c>
      <c r="AI96">
        <f t="shared" si="70"/>
        <v>0.33599999999999997</v>
      </c>
      <c r="AJ96">
        <f>ROUND((AS96),2)</f>
        <v>0</v>
      </c>
      <c r="AK96">
        <v>42.36</v>
      </c>
      <c r="AL96">
        <v>0</v>
      </c>
      <c r="AM96">
        <v>14.13</v>
      </c>
      <c r="AN96">
        <v>4.6399999999999997</v>
      </c>
      <c r="AO96">
        <v>28.23</v>
      </c>
      <c r="AP96">
        <v>0</v>
      </c>
      <c r="AQ96">
        <v>3.31</v>
      </c>
      <c r="AR96">
        <v>0.4</v>
      </c>
      <c r="AS96">
        <v>0</v>
      </c>
      <c r="AT96">
        <v>77</v>
      </c>
      <c r="AU96">
        <v>68</v>
      </c>
      <c r="AV96">
        <v>1</v>
      </c>
      <c r="AW96">
        <v>1</v>
      </c>
      <c r="AZ96">
        <v>1</v>
      </c>
      <c r="BA96">
        <v>25.83</v>
      </c>
      <c r="BB96">
        <v>14.21</v>
      </c>
      <c r="BC96">
        <v>1</v>
      </c>
      <c r="BD96" t="s">
        <v>3</v>
      </c>
      <c r="BE96" t="s">
        <v>3</v>
      </c>
      <c r="BF96" t="s">
        <v>3</v>
      </c>
      <c r="BG96" t="s">
        <v>3</v>
      </c>
      <c r="BH96">
        <v>0</v>
      </c>
      <c r="BI96">
        <v>1</v>
      </c>
      <c r="BJ96" t="s">
        <v>242</v>
      </c>
      <c r="BM96">
        <v>9001</v>
      </c>
      <c r="BN96">
        <v>0</v>
      </c>
      <c r="BO96" t="s">
        <v>240</v>
      </c>
      <c r="BP96">
        <v>1</v>
      </c>
      <c r="BQ96">
        <v>2</v>
      </c>
      <c r="BR96">
        <v>0</v>
      </c>
      <c r="BS96">
        <v>25.83</v>
      </c>
      <c r="BT96">
        <v>1</v>
      </c>
      <c r="BU96">
        <v>1</v>
      </c>
      <c r="BV96">
        <v>1</v>
      </c>
      <c r="BW96">
        <v>1</v>
      </c>
      <c r="BX96">
        <v>1</v>
      </c>
      <c r="BY96" t="s">
        <v>3</v>
      </c>
      <c r="BZ96">
        <v>90</v>
      </c>
      <c r="CA96">
        <v>85</v>
      </c>
      <c r="CF96">
        <v>0</v>
      </c>
      <c r="CG96">
        <v>0</v>
      </c>
      <c r="CM96">
        <v>0</v>
      </c>
      <c r="CN96" t="s">
        <v>474</v>
      </c>
      <c r="CO96">
        <v>0</v>
      </c>
      <c r="CP96">
        <f>(P96+Q96+S96)</f>
        <v>78.11</v>
      </c>
      <c r="CQ96">
        <f>AC96*BC96</f>
        <v>0</v>
      </c>
      <c r="CR96">
        <f>AD96*BB96</f>
        <v>168.67269999999999</v>
      </c>
      <c r="CS96">
        <f>AE96*BS96</f>
        <v>100.73699999999999</v>
      </c>
      <c r="CT96">
        <f>AF96*BA96</f>
        <v>612.42930000000001</v>
      </c>
      <c r="CU96">
        <f t="shared" si="71"/>
        <v>0</v>
      </c>
      <c r="CV96">
        <f t="shared" si="71"/>
        <v>2.7803999999999998</v>
      </c>
      <c r="CW96">
        <f t="shared" si="71"/>
        <v>0.33599999999999997</v>
      </c>
      <c r="CX96">
        <f t="shared" si="71"/>
        <v>0</v>
      </c>
      <c r="CY96">
        <f>(((S96+R96)*AT96)/100)</f>
        <v>54.908699999999996</v>
      </c>
      <c r="CZ96">
        <f>(((S96+R96)*AU96)/100)</f>
        <v>48.4908</v>
      </c>
      <c r="DC96" t="s">
        <v>3</v>
      </c>
      <c r="DD96" t="s">
        <v>222</v>
      </c>
      <c r="DE96" t="s">
        <v>223</v>
      </c>
      <c r="DF96" t="s">
        <v>223</v>
      </c>
      <c r="DG96" t="s">
        <v>223</v>
      </c>
      <c r="DH96" t="s">
        <v>3</v>
      </c>
      <c r="DI96" t="s">
        <v>223</v>
      </c>
      <c r="DJ96" t="s">
        <v>223</v>
      </c>
      <c r="DK96" t="s">
        <v>3</v>
      </c>
      <c r="DL96" t="s">
        <v>3</v>
      </c>
      <c r="DM96" t="s">
        <v>3</v>
      </c>
      <c r="DN96">
        <v>0</v>
      </c>
      <c r="DO96">
        <v>0</v>
      </c>
      <c r="DP96">
        <v>1</v>
      </c>
      <c r="DQ96">
        <v>1</v>
      </c>
      <c r="DU96">
        <v>1013</v>
      </c>
      <c r="DV96" t="s">
        <v>237</v>
      </c>
      <c r="DW96" t="s">
        <v>237</v>
      </c>
      <c r="DX96">
        <v>1</v>
      </c>
      <c r="EE96">
        <v>31265845</v>
      </c>
      <c r="EF96">
        <v>2</v>
      </c>
      <c r="EG96" t="s">
        <v>41</v>
      </c>
      <c r="EH96">
        <v>0</v>
      </c>
      <c r="EI96" t="s">
        <v>3</v>
      </c>
      <c r="EJ96">
        <v>1</v>
      </c>
      <c r="EK96">
        <v>9001</v>
      </c>
      <c r="EL96" t="s">
        <v>231</v>
      </c>
      <c r="EM96" t="s">
        <v>232</v>
      </c>
      <c r="EO96" t="s">
        <v>233</v>
      </c>
      <c r="EQ96">
        <v>512</v>
      </c>
      <c r="ER96">
        <v>42.36</v>
      </c>
      <c r="ES96">
        <v>0</v>
      </c>
      <c r="ET96">
        <v>14.13</v>
      </c>
      <c r="EU96">
        <v>4.6399999999999997</v>
      </c>
      <c r="EV96">
        <v>28.23</v>
      </c>
      <c r="EW96">
        <v>3.31</v>
      </c>
      <c r="EX96">
        <v>0.4</v>
      </c>
      <c r="EY96">
        <v>0</v>
      </c>
      <c r="FQ96">
        <v>0</v>
      </c>
      <c r="FR96">
        <f t="shared" si="72"/>
        <v>0</v>
      </c>
      <c r="FS96">
        <v>0</v>
      </c>
      <c r="FV96" t="s">
        <v>45</v>
      </c>
      <c r="FW96" t="s">
        <v>46</v>
      </c>
      <c r="FX96">
        <v>90</v>
      </c>
      <c r="FY96">
        <v>85</v>
      </c>
      <c r="GA96" t="s">
        <v>3</v>
      </c>
      <c r="GD96">
        <v>0</v>
      </c>
      <c r="GF96">
        <v>-1904754111</v>
      </c>
      <c r="GG96">
        <v>2</v>
      </c>
      <c r="GH96">
        <v>1</v>
      </c>
      <c r="GI96">
        <v>2</v>
      </c>
      <c r="GJ96">
        <v>0</v>
      </c>
      <c r="GK96">
        <f>ROUND(R96*(R12)/100,2)</f>
        <v>0</v>
      </c>
      <c r="GL96">
        <f t="shared" si="73"/>
        <v>0</v>
      </c>
      <c r="GM96">
        <f>ROUND(O96+X96+Y96+GK96,2)+GX96</f>
        <v>181.51</v>
      </c>
      <c r="GN96">
        <f>IF(OR(BI96=0,BI96=1),ROUND(O96+X96+Y96+GK96,2),0)</f>
        <v>181.51</v>
      </c>
      <c r="GO96">
        <f>IF(BI96=2,ROUND(O96+X96+Y96+GK96,2),0)</f>
        <v>0</v>
      </c>
      <c r="GP96">
        <f>IF(BI96=4,ROUND(O96+X96+Y96+GK96,2)+GX96,0)</f>
        <v>0</v>
      </c>
      <c r="GR96">
        <v>0</v>
      </c>
      <c r="GS96">
        <v>3</v>
      </c>
      <c r="GT96">
        <v>0</v>
      </c>
      <c r="GU96" t="s">
        <v>3</v>
      </c>
      <c r="GV96">
        <f>ROUND(GT96,2)</f>
        <v>0</v>
      </c>
      <c r="GW96">
        <v>1</v>
      </c>
      <c r="GX96">
        <f t="shared" si="74"/>
        <v>0</v>
      </c>
      <c r="HA96">
        <v>0</v>
      </c>
      <c r="HB96">
        <v>0</v>
      </c>
      <c r="IK96">
        <v>0</v>
      </c>
    </row>
    <row r="97" spans="1:245" x14ac:dyDescent="0.2">
      <c r="A97">
        <v>17</v>
      </c>
      <c r="B97">
        <v>1</v>
      </c>
      <c r="E97" t="s">
        <v>243</v>
      </c>
      <c r="F97" t="s">
        <v>244</v>
      </c>
      <c r="G97" t="s">
        <v>245</v>
      </c>
      <c r="H97" t="s">
        <v>23</v>
      </c>
      <c r="I97">
        <v>6.7000000000000004E-2</v>
      </c>
      <c r="J97">
        <v>0</v>
      </c>
      <c r="O97">
        <f>0</f>
        <v>0</v>
      </c>
      <c r="P97">
        <f>0</f>
        <v>0</v>
      </c>
      <c r="Q97">
        <f>0</f>
        <v>0</v>
      </c>
      <c r="R97">
        <f>0</f>
        <v>0</v>
      </c>
      <c r="S97">
        <f>0</f>
        <v>0</v>
      </c>
      <c r="T97">
        <f>0</f>
        <v>0</v>
      </c>
      <c r="U97">
        <f>0</f>
        <v>0</v>
      </c>
      <c r="V97">
        <f>0</f>
        <v>0</v>
      </c>
      <c r="W97">
        <f>0</f>
        <v>0</v>
      </c>
      <c r="X97">
        <f>0</f>
        <v>0</v>
      </c>
      <c r="Y97">
        <f>0</f>
        <v>0</v>
      </c>
      <c r="AA97">
        <v>35891596</v>
      </c>
      <c r="AB97">
        <f>ROUND((AK97),2)</f>
        <v>8.36</v>
      </c>
      <c r="AC97">
        <f>0</f>
        <v>0</v>
      </c>
      <c r="AD97">
        <f>0</f>
        <v>0</v>
      </c>
      <c r="AE97">
        <f>0</f>
        <v>0</v>
      </c>
      <c r="AF97">
        <f>0</f>
        <v>0</v>
      </c>
      <c r="AG97">
        <f>0</f>
        <v>0</v>
      </c>
      <c r="AH97">
        <f>0</f>
        <v>0</v>
      </c>
      <c r="AI97">
        <f>0</f>
        <v>0</v>
      </c>
      <c r="AJ97">
        <f>0</f>
        <v>0</v>
      </c>
      <c r="AK97">
        <v>8.36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1</v>
      </c>
      <c r="AW97">
        <v>1</v>
      </c>
      <c r="AZ97">
        <v>14.49</v>
      </c>
      <c r="BA97">
        <v>1</v>
      </c>
      <c r="BB97">
        <v>1</v>
      </c>
      <c r="BC97">
        <v>1</v>
      </c>
      <c r="BD97" t="s">
        <v>3</v>
      </c>
      <c r="BE97" t="s">
        <v>3</v>
      </c>
      <c r="BF97" t="s">
        <v>3</v>
      </c>
      <c r="BG97" t="s">
        <v>3</v>
      </c>
      <c r="BH97">
        <v>0</v>
      </c>
      <c r="BI97">
        <v>1</v>
      </c>
      <c r="BJ97" t="s">
        <v>246</v>
      </c>
      <c r="BM97">
        <v>700004</v>
      </c>
      <c r="BN97">
        <v>0</v>
      </c>
      <c r="BO97" t="s">
        <v>244</v>
      </c>
      <c r="BP97">
        <v>1</v>
      </c>
      <c r="BQ97">
        <v>19</v>
      </c>
      <c r="BR97">
        <v>0</v>
      </c>
      <c r="BS97">
        <v>1</v>
      </c>
      <c r="BT97">
        <v>1</v>
      </c>
      <c r="BU97">
        <v>1</v>
      </c>
      <c r="BV97">
        <v>1</v>
      </c>
      <c r="BW97">
        <v>1</v>
      </c>
      <c r="BX97">
        <v>1</v>
      </c>
      <c r="BY97" t="s">
        <v>3</v>
      </c>
      <c r="BZ97">
        <v>0</v>
      </c>
      <c r="CA97">
        <v>0</v>
      </c>
      <c r="CF97">
        <v>0</v>
      </c>
      <c r="CG97">
        <v>0</v>
      </c>
      <c r="CM97">
        <v>0</v>
      </c>
      <c r="CN97" t="s">
        <v>3</v>
      </c>
      <c r="CO97">
        <v>0</v>
      </c>
      <c r="CP97">
        <f>AB97*AZ97</f>
        <v>121.13639999999999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C97" t="s">
        <v>3</v>
      </c>
      <c r="DD97" t="s">
        <v>3</v>
      </c>
      <c r="DE97" t="s">
        <v>3</v>
      </c>
      <c r="DF97" t="s">
        <v>3</v>
      </c>
      <c r="DG97" t="s">
        <v>3</v>
      </c>
      <c r="DH97" t="s">
        <v>3</v>
      </c>
      <c r="DI97" t="s">
        <v>3</v>
      </c>
      <c r="DJ97" t="s">
        <v>3</v>
      </c>
      <c r="DK97" t="s">
        <v>3</v>
      </c>
      <c r="DL97" t="s">
        <v>3</v>
      </c>
      <c r="DM97" t="s">
        <v>3</v>
      </c>
      <c r="DN97">
        <v>0</v>
      </c>
      <c r="DO97">
        <v>0</v>
      </c>
      <c r="DP97">
        <v>1</v>
      </c>
      <c r="DQ97">
        <v>1</v>
      </c>
      <c r="DU97">
        <v>1013</v>
      </c>
      <c r="DV97" t="s">
        <v>23</v>
      </c>
      <c r="DW97" t="s">
        <v>23</v>
      </c>
      <c r="DX97">
        <v>1</v>
      </c>
      <c r="EE97">
        <v>31266032</v>
      </c>
      <c r="EF97">
        <v>19</v>
      </c>
      <c r="EG97" t="s">
        <v>25</v>
      </c>
      <c r="EH97">
        <v>0</v>
      </c>
      <c r="EI97" t="s">
        <v>3</v>
      </c>
      <c r="EJ97">
        <v>1</v>
      </c>
      <c r="EK97">
        <v>700004</v>
      </c>
      <c r="EL97" t="s">
        <v>26</v>
      </c>
      <c r="EM97" t="s">
        <v>27</v>
      </c>
      <c r="EO97" t="s">
        <v>3</v>
      </c>
      <c r="EQ97">
        <v>0</v>
      </c>
      <c r="ER97">
        <v>0</v>
      </c>
      <c r="ES97">
        <v>0</v>
      </c>
      <c r="ET97">
        <v>0</v>
      </c>
      <c r="EU97">
        <v>0</v>
      </c>
      <c r="EV97">
        <v>0</v>
      </c>
      <c r="EW97">
        <v>0</v>
      </c>
      <c r="EX97">
        <v>0</v>
      </c>
      <c r="EY97">
        <v>0</v>
      </c>
      <c r="FQ97">
        <v>0</v>
      </c>
      <c r="FR97">
        <f t="shared" si="72"/>
        <v>0</v>
      </c>
      <c r="FS97">
        <v>0</v>
      </c>
      <c r="FX97">
        <v>0</v>
      </c>
      <c r="FY97">
        <v>0</v>
      </c>
      <c r="GA97" t="s">
        <v>3</v>
      </c>
      <c r="GD97">
        <v>0</v>
      </c>
      <c r="GF97">
        <v>274440783</v>
      </c>
      <c r="GG97">
        <v>2</v>
      </c>
      <c r="GH97">
        <v>1</v>
      </c>
      <c r="GI97">
        <v>2</v>
      </c>
      <c r="GJ97">
        <v>2</v>
      </c>
      <c r="GK97">
        <f>ROUND(R97*(R12)/100,2)</f>
        <v>0</v>
      </c>
      <c r="GL97">
        <f t="shared" si="73"/>
        <v>0</v>
      </c>
      <c r="GM97">
        <f>ROUND(CP97*I97,2)</f>
        <v>8.1199999999999992</v>
      </c>
      <c r="GN97">
        <f>IF(OR(BI97=0,BI97=1),ROUND(CP97*I97,2),0)</f>
        <v>8.1199999999999992</v>
      </c>
      <c r="GO97">
        <f>IF(BI97=2,ROUND(CP97*I97,2),0)</f>
        <v>0</v>
      </c>
      <c r="GP97">
        <f>IF(BI97=4,ROUND(CP97*I97,2)+GX97,0)</f>
        <v>0</v>
      </c>
      <c r="GR97">
        <v>0</v>
      </c>
      <c r="GS97">
        <v>3</v>
      </c>
      <c r="GU97" t="s">
        <v>3</v>
      </c>
      <c r="GV97">
        <f>0</f>
        <v>0</v>
      </c>
      <c r="GW97">
        <v>1</v>
      </c>
      <c r="GX97">
        <f t="shared" si="74"/>
        <v>0</v>
      </c>
      <c r="GY97">
        <v>0</v>
      </c>
      <c r="GZ97">
        <v>0</v>
      </c>
      <c r="HA97">
        <v>0</v>
      </c>
      <c r="HB97">
        <v>0</v>
      </c>
      <c r="IK97">
        <v>0</v>
      </c>
    </row>
    <row r="98" spans="1:245" x14ac:dyDescent="0.2">
      <c r="A98">
        <v>17</v>
      </c>
      <c r="B98">
        <v>1</v>
      </c>
      <c r="E98" t="s">
        <v>247</v>
      </c>
      <c r="F98" t="s">
        <v>248</v>
      </c>
      <c r="G98" t="s">
        <v>249</v>
      </c>
      <c r="H98" t="s">
        <v>23</v>
      </c>
      <c r="I98">
        <v>0.09</v>
      </c>
      <c r="J98">
        <v>0</v>
      </c>
      <c r="O98">
        <f>0</f>
        <v>0</v>
      </c>
      <c r="P98">
        <f>0</f>
        <v>0</v>
      </c>
      <c r="Q98">
        <f>0</f>
        <v>0</v>
      </c>
      <c r="R98">
        <f>0</f>
        <v>0</v>
      </c>
      <c r="S98">
        <f>0</f>
        <v>0</v>
      </c>
      <c r="T98">
        <f>0</f>
        <v>0</v>
      </c>
      <c r="U98">
        <f>0</f>
        <v>0</v>
      </c>
      <c r="V98">
        <f>0</f>
        <v>0</v>
      </c>
      <c r="W98">
        <f>0</f>
        <v>0</v>
      </c>
      <c r="X98">
        <f>0</f>
        <v>0</v>
      </c>
      <c r="Y98">
        <f>0</f>
        <v>0</v>
      </c>
      <c r="AA98">
        <v>35891596</v>
      </c>
      <c r="AB98">
        <f>ROUND((AK98),2)</f>
        <v>22.33</v>
      </c>
      <c r="AC98">
        <f>0</f>
        <v>0</v>
      </c>
      <c r="AD98">
        <f>0</f>
        <v>0</v>
      </c>
      <c r="AE98">
        <f>0</f>
        <v>0</v>
      </c>
      <c r="AF98">
        <f>0</f>
        <v>0</v>
      </c>
      <c r="AG98">
        <f>0</f>
        <v>0</v>
      </c>
      <c r="AH98">
        <f>0</f>
        <v>0</v>
      </c>
      <c r="AI98">
        <f>0</f>
        <v>0</v>
      </c>
      <c r="AJ98">
        <f>0</f>
        <v>0</v>
      </c>
      <c r="AK98">
        <v>22.33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1</v>
      </c>
      <c r="AW98">
        <v>1</v>
      </c>
      <c r="AZ98">
        <v>14.32</v>
      </c>
      <c r="BA98">
        <v>1</v>
      </c>
      <c r="BB98">
        <v>1</v>
      </c>
      <c r="BC98">
        <v>1</v>
      </c>
      <c r="BD98" t="s">
        <v>3</v>
      </c>
      <c r="BE98" t="s">
        <v>3</v>
      </c>
      <c r="BF98" t="s">
        <v>3</v>
      </c>
      <c r="BG98" t="s">
        <v>3</v>
      </c>
      <c r="BH98">
        <v>0</v>
      </c>
      <c r="BI98">
        <v>1</v>
      </c>
      <c r="BJ98" t="s">
        <v>250</v>
      </c>
      <c r="BM98">
        <v>700004</v>
      </c>
      <c r="BN98">
        <v>0</v>
      </c>
      <c r="BO98" t="s">
        <v>248</v>
      </c>
      <c r="BP98">
        <v>1</v>
      </c>
      <c r="BQ98">
        <v>19</v>
      </c>
      <c r="BR98">
        <v>0</v>
      </c>
      <c r="BS98">
        <v>1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3</v>
      </c>
      <c r="BZ98">
        <v>0</v>
      </c>
      <c r="CA98">
        <v>0</v>
      </c>
      <c r="CF98">
        <v>0</v>
      </c>
      <c r="CG98">
        <v>0</v>
      </c>
      <c r="CM98">
        <v>0</v>
      </c>
      <c r="CN98" t="s">
        <v>3</v>
      </c>
      <c r="CO98">
        <v>0</v>
      </c>
      <c r="CP98">
        <f>AB98*AZ98</f>
        <v>319.76560000000001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C98" t="s">
        <v>3</v>
      </c>
      <c r="DD98" t="s">
        <v>3</v>
      </c>
      <c r="DE98" t="s">
        <v>3</v>
      </c>
      <c r="DF98" t="s">
        <v>3</v>
      </c>
      <c r="DG98" t="s">
        <v>3</v>
      </c>
      <c r="DH98" t="s">
        <v>3</v>
      </c>
      <c r="DI98" t="s">
        <v>3</v>
      </c>
      <c r="DJ98" t="s">
        <v>3</v>
      </c>
      <c r="DK98" t="s">
        <v>3</v>
      </c>
      <c r="DL98" t="s">
        <v>3</v>
      </c>
      <c r="DM98" t="s">
        <v>3</v>
      </c>
      <c r="DN98">
        <v>0</v>
      </c>
      <c r="DO98">
        <v>0</v>
      </c>
      <c r="DP98">
        <v>1</v>
      </c>
      <c r="DQ98">
        <v>1</v>
      </c>
      <c r="DU98">
        <v>1013</v>
      </c>
      <c r="DV98" t="s">
        <v>23</v>
      </c>
      <c r="DW98" t="s">
        <v>23</v>
      </c>
      <c r="DX98">
        <v>1</v>
      </c>
      <c r="EE98">
        <v>31266032</v>
      </c>
      <c r="EF98">
        <v>19</v>
      </c>
      <c r="EG98" t="s">
        <v>25</v>
      </c>
      <c r="EH98">
        <v>0</v>
      </c>
      <c r="EI98" t="s">
        <v>3</v>
      </c>
      <c r="EJ98">
        <v>1</v>
      </c>
      <c r="EK98">
        <v>700004</v>
      </c>
      <c r="EL98" t="s">
        <v>26</v>
      </c>
      <c r="EM98" t="s">
        <v>27</v>
      </c>
      <c r="EO98" t="s">
        <v>3</v>
      </c>
      <c r="EQ98">
        <v>0</v>
      </c>
      <c r="ER98">
        <v>0</v>
      </c>
      <c r="ES98">
        <v>0</v>
      </c>
      <c r="ET98">
        <v>0</v>
      </c>
      <c r="EU98">
        <v>0</v>
      </c>
      <c r="EV98">
        <v>0</v>
      </c>
      <c r="EW98">
        <v>0</v>
      </c>
      <c r="EX98">
        <v>0</v>
      </c>
      <c r="EY98">
        <v>0</v>
      </c>
      <c r="FQ98">
        <v>0</v>
      </c>
      <c r="FR98">
        <f t="shared" si="72"/>
        <v>0</v>
      </c>
      <c r="FS98">
        <v>0</v>
      </c>
      <c r="FX98">
        <v>0</v>
      </c>
      <c r="FY98">
        <v>0</v>
      </c>
      <c r="GA98" t="s">
        <v>3</v>
      </c>
      <c r="GD98">
        <v>0</v>
      </c>
      <c r="GF98">
        <v>-1514877476</v>
      </c>
      <c r="GG98">
        <v>2</v>
      </c>
      <c r="GH98">
        <v>1</v>
      </c>
      <c r="GI98">
        <v>2</v>
      </c>
      <c r="GJ98">
        <v>2</v>
      </c>
      <c r="GK98">
        <f>ROUND(R98*(R12)/100,2)</f>
        <v>0</v>
      </c>
      <c r="GL98">
        <f t="shared" si="73"/>
        <v>0</v>
      </c>
      <c r="GM98">
        <f>ROUND(CP98*I98,2)</f>
        <v>28.78</v>
      </c>
      <c r="GN98">
        <f>IF(OR(BI98=0,BI98=1),ROUND(CP98*I98,2),0)</f>
        <v>28.78</v>
      </c>
      <c r="GO98">
        <f>IF(BI98=2,ROUND(CP98*I98,2),0)</f>
        <v>0</v>
      </c>
      <c r="GP98">
        <f>IF(BI98=4,ROUND(CP98*I98,2)+GX98,0)</f>
        <v>0</v>
      </c>
      <c r="GR98">
        <v>0</v>
      </c>
      <c r="GS98">
        <v>3</v>
      </c>
      <c r="GU98" t="s">
        <v>3</v>
      </c>
      <c r="GV98">
        <f>0</f>
        <v>0</v>
      </c>
      <c r="GW98">
        <v>1</v>
      </c>
      <c r="GX98">
        <f t="shared" si="74"/>
        <v>0</v>
      </c>
      <c r="GY98">
        <v>0</v>
      </c>
      <c r="GZ98">
        <v>0</v>
      </c>
      <c r="HA98">
        <v>0</v>
      </c>
      <c r="HB98">
        <v>0</v>
      </c>
      <c r="IK98">
        <v>0</v>
      </c>
    </row>
    <row r="99" spans="1:245" x14ac:dyDescent="0.2">
      <c r="A99">
        <v>17</v>
      </c>
      <c r="B99">
        <v>1</v>
      </c>
      <c r="E99" t="s">
        <v>251</v>
      </c>
      <c r="F99" t="s">
        <v>252</v>
      </c>
      <c r="G99" t="s">
        <v>253</v>
      </c>
      <c r="H99" t="s">
        <v>23</v>
      </c>
      <c r="I99">
        <v>0.157</v>
      </c>
      <c r="J99">
        <v>0</v>
      </c>
      <c r="O99">
        <f>0</f>
        <v>0</v>
      </c>
      <c r="P99">
        <f>0</f>
        <v>0</v>
      </c>
      <c r="Q99">
        <f>0</f>
        <v>0</v>
      </c>
      <c r="R99">
        <f>0</f>
        <v>0</v>
      </c>
      <c r="S99">
        <f>0</f>
        <v>0</v>
      </c>
      <c r="T99">
        <f>0</f>
        <v>0</v>
      </c>
      <c r="U99">
        <f>0</f>
        <v>0</v>
      </c>
      <c r="V99">
        <f>0</f>
        <v>0</v>
      </c>
      <c r="W99">
        <f>0</f>
        <v>0</v>
      </c>
      <c r="X99">
        <f>0</f>
        <v>0</v>
      </c>
      <c r="Y99">
        <f>0</f>
        <v>0</v>
      </c>
      <c r="AA99">
        <v>35891596</v>
      </c>
      <c r="AB99">
        <f>ROUND((AK99),2)</f>
        <v>7.37</v>
      </c>
      <c r="AC99">
        <f>0</f>
        <v>0</v>
      </c>
      <c r="AD99">
        <f>0</f>
        <v>0</v>
      </c>
      <c r="AE99">
        <f>0</f>
        <v>0</v>
      </c>
      <c r="AF99">
        <f>0</f>
        <v>0</v>
      </c>
      <c r="AG99">
        <f>0</f>
        <v>0</v>
      </c>
      <c r="AH99">
        <f>0</f>
        <v>0</v>
      </c>
      <c r="AI99">
        <f>0</f>
        <v>0</v>
      </c>
      <c r="AJ99">
        <f>0</f>
        <v>0</v>
      </c>
      <c r="AK99">
        <v>7.37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1</v>
      </c>
      <c r="AW99">
        <v>1</v>
      </c>
      <c r="AZ99">
        <v>8.3800000000000008</v>
      </c>
      <c r="BA99">
        <v>1</v>
      </c>
      <c r="BB99">
        <v>1</v>
      </c>
      <c r="BC99">
        <v>1</v>
      </c>
      <c r="BD99" t="s">
        <v>3</v>
      </c>
      <c r="BE99" t="s">
        <v>3</v>
      </c>
      <c r="BF99" t="s">
        <v>3</v>
      </c>
      <c r="BG99" t="s">
        <v>3</v>
      </c>
      <c r="BH99">
        <v>0</v>
      </c>
      <c r="BI99">
        <v>1</v>
      </c>
      <c r="BJ99" t="s">
        <v>254</v>
      </c>
      <c r="BM99">
        <v>700005</v>
      </c>
      <c r="BN99">
        <v>0</v>
      </c>
      <c r="BO99" t="s">
        <v>252</v>
      </c>
      <c r="BP99">
        <v>1</v>
      </c>
      <c r="BQ99">
        <v>10</v>
      </c>
      <c r="BR99">
        <v>0</v>
      </c>
      <c r="BS99">
        <v>1</v>
      </c>
      <c r="BT99">
        <v>1</v>
      </c>
      <c r="BU99">
        <v>1</v>
      </c>
      <c r="BV99">
        <v>1</v>
      </c>
      <c r="BW99">
        <v>1</v>
      </c>
      <c r="BX99">
        <v>1</v>
      </c>
      <c r="BY99" t="s">
        <v>3</v>
      </c>
      <c r="BZ99">
        <v>0</v>
      </c>
      <c r="CA99">
        <v>0</v>
      </c>
      <c r="CF99">
        <v>0</v>
      </c>
      <c r="CG99">
        <v>0</v>
      </c>
      <c r="CM99">
        <v>0</v>
      </c>
      <c r="CN99" t="s">
        <v>3</v>
      </c>
      <c r="CO99">
        <v>0</v>
      </c>
      <c r="CP99">
        <f>AB99*AZ99</f>
        <v>61.760600000000004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C99" t="s">
        <v>3</v>
      </c>
      <c r="DD99" t="s">
        <v>3</v>
      </c>
      <c r="DE99" t="s">
        <v>3</v>
      </c>
      <c r="DF99" t="s">
        <v>3</v>
      </c>
      <c r="DG99" t="s">
        <v>3</v>
      </c>
      <c r="DH99" t="s">
        <v>3</v>
      </c>
      <c r="DI99" t="s">
        <v>3</v>
      </c>
      <c r="DJ99" t="s">
        <v>3</v>
      </c>
      <c r="DK99" t="s">
        <v>3</v>
      </c>
      <c r="DL99" t="s">
        <v>3</v>
      </c>
      <c r="DM99" t="s">
        <v>3</v>
      </c>
      <c r="DN99">
        <v>0</v>
      </c>
      <c r="DO99">
        <v>0</v>
      </c>
      <c r="DP99">
        <v>1</v>
      </c>
      <c r="DQ99">
        <v>1</v>
      </c>
      <c r="DU99">
        <v>1013</v>
      </c>
      <c r="DV99" t="s">
        <v>23</v>
      </c>
      <c r="DW99" t="s">
        <v>23</v>
      </c>
      <c r="DX99">
        <v>1</v>
      </c>
      <c r="EE99">
        <v>31266033</v>
      </c>
      <c r="EF99">
        <v>10</v>
      </c>
      <c r="EG99" t="s">
        <v>32</v>
      </c>
      <c r="EH99">
        <v>0</v>
      </c>
      <c r="EI99" t="s">
        <v>3</v>
      </c>
      <c r="EJ99">
        <v>1</v>
      </c>
      <c r="EK99">
        <v>700005</v>
      </c>
      <c r="EL99" t="s">
        <v>33</v>
      </c>
      <c r="EM99" t="s">
        <v>34</v>
      </c>
      <c r="EO99" t="s">
        <v>3</v>
      </c>
      <c r="EQ99">
        <v>0</v>
      </c>
      <c r="ER99">
        <v>0</v>
      </c>
      <c r="ES99">
        <v>0</v>
      </c>
      <c r="ET99">
        <v>0</v>
      </c>
      <c r="EU99">
        <v>0</v>
      </c>
      <c r="EV99">
        <v>0</v>
      </c>
      <c r="EW99">
        <v>0</v>
      </c>
      <c r="EX99">
        <v>0</v>
      </c>
      <c r="EY99">
        <v>0</v>
      </c>
      <c r="FQ99">
        <v>0</v>
      </c>
      <c r="FR99">
        <f t="shared" si="72"/>
        <v>0</v>
      </c>
      <c r="FS99">
        <v>0</v>
      </c>
      <c r="FX99">
        <v>0</v>
      </c>
      <c r="FY99">
        <v>0</v>
      </c>
      <c r="GA99" t="s">
        <v>3</v>
      </c>
      <c r="GD99">
        <v>0</v>
      </c>
      <c r="GF99">
        <v>1037674834</v>
      </c>
      <c r="GG99">
        <v>2</v>
      </c>
      <c r="GH99">
        <v>1</v>
      </c>
      <c r="GI99">
        <v>2</v>
      </c>
      <c r="GJ99">
        <v>2</v>
      </c>
      <c r="GK99">
        <f>ROUND(R99*(R12)/100,2)</f>
        <v>0</v>
      </c>
      <c r="GL99">
        <f t="shared" si="73"/>
        <v>0</v>
      </c>
      <c r="GM99">
        <f>ROUND(CP99*I99,2)</f>
        <v>9.6999999999999993</v>
      </c>
      <c r="GN99">
        <f>IF(OR(BI99=0,BI99=1),ROUND(CP99*I99,2),0)</f>
        <v>9.6999999999999993</v>
      </c>
      <c r="GO99">
        <f>IF(BI99=2,ROUND(CP99*I99,2),0)</f>
        <v>0</v>
      </c>
      <c r="GP99">
        <f>IF(BI99=4,ROUND(CP99*I99,2)+GX99,0)</f>
        <v>0</v>
      </c>
      <c r="GR99">
        <v>0</v>
      </c>
      <c r="GS99">
        <v>3</v>
      </c>
      <c r="GU99" t="s">
        <v>3</v>
      </c>
      <c r="GV99">
        <f>0</f>
        <v>0</v>
      </c>
      <c r="GW99">
        <v>1</v>
      </c>
      <c r="GX99">
        <f t="shared" si="74"/>
        <v>0</v>
      </c>
      <c r="GY99">
        <v>0</v>
      </c>
      <c r="GZ99">
        <v>0</v>
      </c>
      <c r="HA99">
        <v>0</v>
      </c>
      <c r="HB99">
        <v>0</v>
      </c>
      <c r="IK99">
        <v>0</v>
      </c>
    </row>
    <row r="100" spans="1:245" x14ac:dyDescent="0.2">
      <c r="A100">
        <v>17</v>
      </c>
      <c r="B100">
        <v>1</v>
      </c>
      <c r="E100" t="s">
        <v>255</v>
      </c>
      <c r="F100" t="s">
        <v>256</v>
      </c>
      <c r="G100" t="s">
        <v>257</v>
      </c>
      <c r="H100" t="s">
        <v>23</v>
      </c>
      <c r="I100">
        <v>6.7000000000000004E-2</v>
      </c>
      <c r="J100">
        <v>0</v>
      </c>
      <c r="O100">
        <f>0</f>
        <v>0</v>
      </c>
      <c r="P100">
        <f>0</f>
        <v>0</v>
      </c>
      <c r="Q100">
        <f>0</f>
        <v>0</v>
      </c>
      <c r="R100">
        <f>0</f>
        <v>0</v>
      </c>
      <c r="S100">
        <f>0</f>
        <v>0</v>
      </c>
      <c r="T100">
        <f>0</f>
        <v>0</v>
      </c>
      <c r="U100">
        <f>0</f>
        <v>0</v>
      </c>
      <c r="V100">
        <f>0</f>
        <v>0</v>
      </c>
      <c r="W100">
        <f>0</f>
        <v>0</v>
      </c>
      <c r="X100">
        <f>0</f>
        <v>0</v>
      </c>
      <c r="Y100">
        <f>0</f>
        <v>0</v>
      </c>
      <c r="AA100">
        <v>35891596</v>
      </c>
      <c r="AB100">
        <f>ROUND((AK100),2)</f>
        <v>8.36</v>
      </c>
      <c r="AC100">
        <f>0</f>
        <v>0</v>
      </c>
      <c r="AD100">
        <f>0</f>
        <v>0</v>
      </c>
      <c r="AE100">
        <f>0</f>
        <v>0</v>
      </c>
      <c r="AF100">
        <f>0</f>
        <v>0</v>
      </c>
      <c r="AG100">
        <f>0</f>
        <v>0</v>
      </c>
      <c r="AH100">
        <f>0</f>
        <v>0</v>
      </c>
      <c r="AI100">
        <f>0</f>
        <v>0</v>
      </c>
      <c r="AJ100">
        <f>0</f>
        <v>0</v>
      </c>
      <c r="AK100">
        <v>8.36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1</v>
      </c>
      <c r="AW100">
        <v>1</v>
      </c>
      <c r="AZ100">
        <v>14.49</v>
      </c>
      <c r="BA100">
        <v>1</v>
      </c>
      <c r="BB100">
        <v>1</v>
      </c>
      <c r="BC100">
        <v>1</v>
      </c>
      <c r="BD100" t="s">
        <v>3</v>
      </c>
      <c r="BE100" t="s">
        <v>3</v>
      </c>
      <c r="BF100" t="s">
        <v>3</v>
      </c>
      <c r="BG100" t="s">
        <v>3</v>
      </c>
      <c r="BH100">
        <v>0</v>
      </c>
      <c r="BI100">
        <v>1</v>
      </c>
      <c r="BJ100" t="s">
        <v>258</v>
      </c>
      <c r="BM100">
        <v>700004</v>
      </c>
      <c r="BN100">
        <v>0</v>
      </c>
      <c r="BO100" t="s">
        <v>256</v>
      </c>
      <c r="BP100">
        <v>1</v>
      </c>
      <c r="BQ100">
        <v>19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0</v>
      </c>
      <c r="CA100">
        <v>0</v>
      </c>
      <c r="CF100">
        <v>0</v>
      </c>
      <c r="CG100">
        <v>0</v>
      </c>
      <c r="CM100">
        <v>0</v>
      </c>
      <c r="CN100" t="s">
        <v>3</v>
      </c>
      <c r="CO100">
        <v>0</v>
      </c>
      <c r="CP100">
        <f>AB100*AZ100</f>
        <v>121.13639999999999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C100" t="s">
        <v>3</v>
      </c>
      <c r="DD100" t="s">
        <v>3</v>
      </c>
      <c r="DE100" t="s">
        <v>3</v>
      </c>
      <c r="DF100" t="s">
        <v>3</v>
      </c>
      <c r="DG100" t="s">
        <v>3</v>
      </c>
      <c r="DH100" t="s">
        <v>3</v>
      </c>
      <c r="DI100" t="s">
        <v>3</v>
      </c>
      <c r="DJ100" t="s">
        <v>3</v>
      </c>
      <c r="DK100" t="s">
        <v>3</v>
      </c>
      <c r="DL100" t="s">
        <v>3</v>
      </c>
      <c r="DM100" t="s">
        <v>3</v>
      </c>
      <c r="DN100">
        <v>0</v>
      </c>
      <c r="DO100">
        <v>0</v>
      </c>
      <c r="DP100">
        <v>1</v>
      </c>
      <c r="DQ100">
        <v>1</v>
      </c>
      <c r="DU100">
        <v>1013</v>
      </c>
      <c r="DV100" t="s">
        <v>23</v>
      </c>
      <c r="DW100" t="s">
        <v>23</v>
      </c>
      <c r="DX100">
        <v>1</v>
      </c>
      <c r="EE100">
        <v>31266032</v>
      </c>
      <c r="EF100">
        <v>19</v>
      </c>
      <c r="EG100" t="s">
        <v>25</v>
      </c>
      <c r="EH100">
        <v>0</v>
      </c>
      <c r="EI100" t="s">
        <v>3</v>
      </c>
      <c r="EJ100">
        <v>1</v>
      </c>
      <c r="EK100">
        <v>700004</v>
      </c>
      <c r="EL100" t="s">
        <v>26</v>
      </c>
      <c r="EM100" t="s">
        <v>27</v>
      </c>
      <c r="EO100" t="s">
        <v>3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0</v>
      </c>
      <c r="EX100">
        <v>0</v>
      </c>
      <c r="EY100">
        <v>0</v>
      </c>
      <c r="FQ100">
        <v>0</v>
      </c>
      <c r="FR100">
        <f t="shared" si="72"/>
        <v>0</v>
      </c>
      <c r="FS100">
        <v>0</v>
      </c>
      <c r="FX100">
        <v>0</v>
      </c>
      <c r="FY100">
        <v>0</v>
      </c>
      <c r="GA100" t="s">
        <v>3</v>
      </c>
      <c r="GD100">
        <v>0</v>
      </c>
      <c r="GF100">
        <v>-1378308799</v>
      </c>
      <c r="GG100">
        <v>2</v>
      </c>
      <c r="GH100">
        <v>1</v>
      </c>
      <c r="GI100">
        <v>2</v>
      </c>
      <c r="GJ100">
        <v>2</v>
      </c>
      <c r="GK100">
        <f>ROUND(R100*(R12)/100,2)</f>
        <v>0</v>
      </c>
      <c r="GL100">
        <f t="shared" si="73"/>
        <v>0</v>
      </c>
      <c r="GM100">
        <f>ROUND(CP100*I100,2)</f>
        <v>8.1199999999999992</v>
      </c>
      <c r="GN100">
        <f>IF(OR(BI100=0,BI100=1),ROUND(CP100*I100,2),0)</f>
        <v>8.1199999999999992</v>
      </c>
      <c r="GO100">
        <f>IF(BI100=2,ROUND(CP100*I100,2),0)</f>
        <v>0</v>
      </c>
      <c r="GP100">
        <f>IF(BI100=4,ROUND(CP100*I100,2)+GX100,0)</f>
        <v>0</v>
      </c>
      <c r="GR100">
        <v>0</v>
      </c>
      <c r="GS100">
        <v>3</v>
      </c>
      <c r="GU100" t="s">
        <v>3</v>
      </c>
      <c r="GV100">
        <f>0</f>
        <v>0</v>
      </c>
      <c r="GW100">
        <v>1</v>
      </c>
      <c r="GX100">
        <f t="shared" si="74"/>
        <v>0</v>
      </c>
      <c r="GY100">
        <v>0</v>
      </c>
      <c r="GZ100">
        <v>0</v>
      </c>
      <c r="HA100">
        <v>0</v>
      </c>
      <c r="HB100">
        <v>0</v>
      </c>
      <c r="IK100">
        <v>0</v>
      </c>
    </row>
    <row r="101" spans="1:245" x14ac:dyDescent="0.2">
      <c r="A101">
        <v>17</v>
      </c>
      <c r="B101">
        <v>1</v>
      </c>
      <c r="E101" t="s">
        <v>259</v>
      </c>
      <c r="F101" t="s">
        <v>260</v>
      </c>
      <c r="G101" t="s">
        <v>261</v>
      </c>
      <c r="H101" t="s">
        <v>23</v>
      </c>
      <c r="I101">
        <v>0.09</v>
      </c>
      <c r="J101">
        <v>0</v>
      </c>
      <c r="O101">
        <f>0</f>
        <v>0</v>
      </c>
      <c r="P101">
        <f>0</f>
        <v>0</v>
      </c>
      <c r="Q101">
        <f>0</f>
        <v>0</v>
      </c>
      <c r="R101">
        <f>0</f>
        <v>0</v>
      </c>
      <c r="S101">
        <f>0</f>
        <v>0</v>
      </c>
      <c r="T101">
        <f>0</f>
        <v>0</v>
      </c>
      <c r="U101">
        <f>0</f>
        <v>0</v>
      </c>
      <c r="V101">
        <f>0</f>
        <v>0</v>
      </c>
      <c r="W101">
        <f>0</f>
        <v>0</v>
      </c>
      <c r="X101">
        <f>0</f>
        <v>0</v>
      </c>
      <c r="Y101">
        <f>0</f>
        <v>0</v>
      </c>
      <c r="AA101">
        <v>35891596</v>
      </c>
      <c r="AB101">
        <f>ROUND((AK101),2)</f>
        <v>10.45</v>
      </c>
      <c r="AC101">
        <f>0</f>
        <v>0</v>
      </c>
      <c r="AD101">
        <f>0</f>
        <v>0</v>
      </c>
      <c r="AE101">
        <f>0</f>
        <v>0</v>
      </c>
      <c r="AF101">
        <f>0</f>
        <v>0</v>
      </c>
      <c r="AG101">
        <f>0</f>
        <v>0</v>
      </c>
      <c r="AH101">
        <f>0</f>
        <v>0</v>
      </c>
      <c r="AI101">
        <f>0</f>
        <v>0</v>
      </c>
      <c r="AJ101">
        <f>0</f>
        <v>0</v>
      </c>
      <c r="AK101">
        <v>10.45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1</v>
      </c>
      <c r="AW101">
        <v>1</v>
      </c>
      <c r="AZ101">
        <v>14.31</v>
      </c>
      <c r="BA101">
        <v>1</v>
      </c>
      <c r="BB101">
        <v>1</v>
      </c>
      <c r="BC101">
        <v>1</v>
      </c>
      <c r="BD101" t="s">
        <v>3</v>
      </c>
      <c r="BE101" t="s">
        <v>3</v>
      </c>
      <c r="BF101" t="s">
        <v>3</v>
      </c>
      <c r="BG101" t="s">
        <v>3</v>
      </c>
      <c r="BH101">
        <v>0</v>
      </c>
      <c r="BI101">
        <v>1</v>
      </c>
      <c r="BJ101" t="s">
        <v>262</v>
      </c>
      <c r="BM101">
        <v>700004</v>
      </c>
      <c r="BN101">
        <v>0</v>
      </c>
      <c r="BO101" t="s">
        <v>260</v>
      </c>
      <c r="BP101">
        <v>1</v>
      </c>
      <c r="BQ101">
        <v>19</v>
      </c>
      <c r="BR101">
        <v>0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0</v>
      </c>
      <c r="CA101">
        <v>0</v>
      </c>
      <c r="CF101">
        <v>0</v>
      </c>
      <c r="CG101">
        <v>0</v>
      </c>
      <c r="CM101">
        <v>0</v>
      </c>
      <c r="CN101" t="s">
        <v>3</v>
      </c>
      <c r="CO101">
        <v>0</v>
      </c>
      <c r="CP101">
        <f>AB101*AZ101</f>
        <v>149.5395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C101" t="s">
        <v>3</v>
      </c>
      <c r="DD101" t="s">
        <v>3</v>
      </c>
      <c r="DE101" t="s">
        <v>3</v>
      </c>
      <c r="DF101" t="s">
        <v>3</v>
      </c>
      <c r="DG101" t="s">
        <v>3</v>
      </c>
      <c r="DH101" t="s">
        <v>3</v>
      </c>
      <c r="DI101" t="s">
        <v>3</v>
      </c>
      <c r="DJ101" t="s">
        <v>3</v>
      </c>
      <c r="DK101" t="s">
        <v>3</v>
      </c>
      <c r="DL101" t="s">
        <v>3</v>
      </c>
      <c r="DM101" t="s">
        <v>3</v>
      </c>
      <c r="DN101">
        <v>0</v>
      </c>
      <c r="DO101">
        <v>0</v>
      </c>
      <c r="DP101">
        <v>1</v>
      </c>
      <c r="DQ101">
        <v>1</v>
      </c>
      <c r="DU101">
        <v>1013</v>
      </c>
      <c r="DV101" t="s">
        <v>23</v>
      </c>
      <c r="DW101" t="s">
        <v>23</v>
      </c>
      <c r="DX101">
        <v>1</v>
      </c>
      <c r="EE101">
        <v>31266032</v>
      </c>
      <c r="EF101">
        <v>19</v>
      </c>
      <c r="EG101" t="s">
        <v>25</v>
      </c>
      <c r="EH101">
        <v>0</v>
      </c>
      <c r="EI101" t="s">
        <v>3</v>
      </c>
      <c r="EJ101">
        <v>1</v>
      </c>
      <c r="EK101">
        <v>700004</v>
      </c>
      <c r="EL101" t="s">
        <v>26</v>
      </c>
      <c r="EM101" t="s">
        <v>27</v>
      </c>
      <c r="EO101" t="s">
        <v>3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0</v>
      </c>
      <c r="EX101">
        <v>0</v>
      </c>
      <c r="EY101">
        <v>0</v>
      </c>
      <c r="FQ101">
        <v>0</v>
      </c>
      <c r="FR101">
        <f t="shared" si="72"/>
        <v>0</v>
      </c>
      <c r="FS101">
        <v>0</v>
      </c>
      <c r="FX101">
        <v>0</v>
      </c>
      <c r="FY101">
        <v>0</v>
      </c>
      <c r="GA101" t="s">
        <v>3</v>
      </c>
      <c r="GD101">
        <v>0</v>
      </c>
      <c r="GF101">
        <v>-548397590</v>
      </c>
      <c r="GG101">
        <v>2</v>
      </c>
      <c r="GH101">
        <v>1</v>
      </c>
      <c r="GI101">
        <v>2</v>
      </c>
      <c r="GJ101">
        <v>2</v>
      </c>
      <c r="GK101">
        <f>ROUND(R101*(R12)/100,2)</f>
        <v>0</v>
      </c>
      <c r="GL101">
        <f t="shared" si="73"/>
        <v>0</v>
      </c>
      <c r="GM101">
        <f>ROUND(CP101*I101,2)</f>
        <v>13.46</v>
      </c>
      <c r="GN101">
        <f>IF(OR(BI101=0,BI101=1),ROUND(CP101*I101,2),0)</f>
        <v>13.46</v>
      </c>
      <c r="GO101">
        <f>IF(BI101=2,ROUND(CP101*I101,2),0)</f>
        <v>0</v>
      </c>
      <c r="GP101">
        <f>IF(BI101=4,ROUND(CP101*I101,2)+GX101,0)</f>
        <v>0</v>
      </c>
      <c r="GR101">
        <v>0</v>
      </c>
      <c r="GS101">
        <v>3</v>
      </c>
      <c r="GU101" t="s">
        <v>3</v>
      </c>
      <c r="GV101">
        <f>0</f>
        <v>0</v>
      </c>
      <c r="GW101">
        <v>1</v>
      </c>
      <c r="GX101">
        <f t="shared" si="74"/>
        <v>0</v>
      </c>
      <c r="GY101">
        <v>0</v>
      </c>
      <c r="GZ101">
        <v>0</v>
      </c>
      <c r="HA101">
        <v>0</v>
      </c>
      <c r="HB101">
        <v>0</v>
      </c>
      <c r="IK101">
        <v>0</v>
      </c>
    </row>
    <row r="103" spans="1:245" x14ac:dyDescent="0.2">
      <c r="A103" s="2">
        <v>51</v>
      </c>
      <c r="B103" s="2">
        <f>B88</f>
        <v>1</v>
      </c>
      <c r="C103" s="2">
        <f>A88</f>
        <v>4</v>
      </c>
      <c r="D103" s="2">
        <f>ROW(A88)</f>
        <v>88</v>
      </c>
      <c r="E103" s="2"/>
      <c r="F103" s="2" t="str">
        <f>IF(F88&lt;&gt;"",F88,"")</f>
        <v>Новый раздел</v>
      </c>
      <c r="G103" s="2" t="str">
        <f>IF(G88&lt;&gt;"",G88,"")</f>
        <v>Демонтаж ИВРУ в районе СП-4</v>
      </c>
      <c r="H103" s="2">
        <v>0</v>
      </c>
      <c r="I103" s="2"/>
      <c r="J103" s="2"/>
      <c r="K103" s="2"/>
      <c r="L103" s="2"/>
      <c r="M103" s="2"/>
      <c r="N103" s="2"/>
      <c r="O103" s="2">
        <f t="shared" ref="O103:T103" si="75">ROUND(AB103,2)</f>
        <v>3593.13</v>
      </c>
      <c r="P103" s="2">
        <f t="shared" si="75"/>
        <v>0</v>
      </c>
      <c r="Q103" s="2">
        <f t="shared" si="75"/>
        <v>1551.82</v>
      </c>
      <c r="R103" s="2">
        <f t="shared" si="75"/>
        <v>589.91999999999996</v>
      </c>
      <c r="S103" s="2">
        <f t="shared" si="75"/>
        <v>2041.31</v>
      </c>
      <c r="T103" s="2">
        <f t="shared" si="75"/>
        <v>0</v>
      </c>
      <c r="U103" s="2">
        <f>AH103</f>
        <v>8.4971040000000002</v>
      </c>
      <c r="V103" s="2">
        <f>AI103</f>
        <v>1.83792</v>
      </c>
      <c r="W103" s="2">
        <f>ROUND(AJ103,2)</f>
        <v>0</v>
      </c>
      <c r="X103" s="2">
        <f>ROUND(AK103,2)</f>
        <v>2085.1999999999998</v>
      </c>
      <c r="Y103" s="2">
        <f>ROUND(AL103,2)</f>
        <v>1552.61</v>
      </c>
      <c r="Z103" s="2"/>
      <c r="AA103" s="2"/>
      <c r="AB103" s="2">
        <f>ROUND(SUMIF(AA92:AA101,"=35891596",O92:O101),2)</f>
        <v>3593.13</v>
      </c>
      <c r="AC103" s="2">
        <f>ROUND(SUMIF(AA92:AA101,"=35891596",P92:P101),2)</f>
        <v>0</v>
      </c>
      <c r="AD103" s="2">
        <f>ROUND(SUMIF(AA92:AA101,"=35891596",Q92:Q101),2)</f>
        <v>1551.82</v>
      </c>
      <c r="AE103" s="2">
        <f>ROUND(SUMIF(AA92:AA101,"=35891596",R92:R101),2)</f>
        <v>589.91999999999996</v>
      </c>
      <c r="AF103" s="2">
        <f>ROUND(SUMIF(AA92:AA101,"=35891596",S92:S101),2)</f>
        <v>2041.31</v>
      </c>
      <c r="AG103" s="2">
        <f>ROUND(SUMIF(AA92:AA101,"=35891596",T92:T101),2)</f>
        <v>0</v>
      </c>
      <c r="AH103" s="2">
        <f>SUMIF(AA92:AA101,"=35891596",U92:U101)</f>
        <v>8.4971040000000002</v>
      </c>
      <c r="AI103" s="2">
        <f>SUMIF(AA92:AA101,"=35891596",V92:V101)</f>
        <v>1.83792</v>
      </c>
      <c r="AJ103" s="2">
        <f>ROUND(SUMIF(AA92:AA101,"=35891596",W92:W101),2)</f>
        <v>0</v>
      </c>
      <c r="AK103" s="2">
        <f>ROUND(SUMIF(AA92:AA101,"=35891596",X92:X101),2)</f>
        <v>2085.1999999999998</v>
      </c>
      <c r="AL103" s="2">
        <f>ROUND(SUMIF(AA92:AA101,"=35891596",Y92:Y101),2)</f>
        <v>1552.61</v>
      </c>
      <c r="AM103" s="2"/>
      <c r="AN103" s="2"/>
      <c r="AO103" s="2">
        <f t="shared" ref="AO103:BC103" si="76">ROUND(BX103,2)</f>
        <v>0</v>
      </c>
      <c r="AP103" s="2">
        <f t="shared" si="76"/>
        <v>0</v>
      </c>
      <c r="AQ103" s="2">
        <f t="shared" si="76"/>
        <v>0</v>
      </c>
      <c r="AR103" s="2">
        <f t="shared" si="76"/>
        <v>7299.12</v>
      </c>
      <c r="AS103" s="2">
        <f t="shared" si="76"/>
        <v>3444.59</v>
      </c>
      <c r="AT103" s="2">
        <f t="shared" si="76"/>
        <v>3854.53</v>
      </c>
      <c r="AU103" s="2">
        <f t="shared" si="76"/>
        <v>0</v>
      </c>
      <c r="AV103" s="2">
        <f t="shared" si="76"/>
        <v>0</v>
      </c>
      <c r="AW103" s="2">
        <f t="shared" si="76"/>
        <v>0</v>
      </c>
      <c r="AX103" s="2">
        <f t="shared" si="76"/>
        <v>0</v>
      </c>
      <c r="AY103" s="2">
        <f t="shared" si="76"/>
        <v>0</v>
      </c>
      <c r="AZ103" s="2">
        <f t="shared" si="76"/>
        <v>0</v>
      </c>
      <c r="BA103" s="2">
        <f t="shared" si="76"/>
        <v>0</v>
      </c>
      <c r="BB103" s="2">
        <f t="shared" si="76"/>
        <v>0</v>
      </c>
      <c r="BC103" s="2">
        <f t="shared" si="76"/>
        <v>0</v>
      </c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>
        <f>ROUND(SUMIF(AA92:AA101,"=35891596",FQ92:FQ101),2)</f>
        <v>0</v>
      </c>
      <c r="BY103" s="2">
        <f>ROUND(SUMIF(AA92:AA101,"=35891596",FR92:FR101),2)</f>
        <v>0</v>
      </c>
      <c r="BZ103" s="2">
        <f>ROUND(SUMIF(AA92:AA101,"=35891596",GL92:GL101),2)</f>
        <v>0</v>
      </c>
      <c r="CA103" s="2">
        <f>ROUND(SUMIF(AA92:AA101,"=35891596",GM92:GM101),2)</f>
        <v>7299.12</v>
      </c>
      <c r="CB103" s="2">
        <f>ROUND(SUMIF(AA92:AA101,"=35891596",GN92:GN101),2)</f>
        <v>3444.59</v>
      </c>
      <c r="CC103" s="2">
        <f>ROUND(SUMIF(AA92:AA101,"=35891596",GO92:GO101),2)</f>
        <v>3854.53</v>
      </c>
      <c r="CD103" s="2">
        <f>ROUND(SUMIF(AA92:AA101,"=35891596",GP92:GP101),2)</f>
        <v>0</v>
      </c>
      <c r="CE103" s="2">
        <f>AC103-BX103</f>
        <v>0</v>
      </c>
      <c r="CF103" s="2">
        <f>AC103-BY103</f>
        <v>0</v>
      </c>
      <c r="CG103" s="2">
        <f>BX103-BZ103</f>
        <v>0</v>
      </c>
      <c r="CH103" s="2">
        <f>AC103-BX103-BY103+BZ103</f>
        <v>0</v>
      </c>
      <c r="CI103" s="2">
        <f>BY103-BZ103</f>
        <v>0</v>
      </c>
      <c r="CJ103" s="2">
        <f>ROUND(SUMIF(AA92:AA101,"=35891596",GX92:GX101),2)</f>
        <v>0</v>
      </c>
      <c r="CK103" s="2">
        <f>ROUND(SUMIF(AA92:AA101,"=35891596",GY92:GY101),2)</f>
        <v>0</v>
      </c>
      <c r="CL103" s="2">
        <f>ROUND(SUMIF(AA92:AA101,"=35891596",GZ92:GZ101),2)</f>
        <v>0</v>
      </c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>
        <v>0</v>
      </c>
    </row>
    <row r="105" spans="1:245" x14ac:dyDescent="0.2">
      <c r="A105" s="4">
        <v>50</v>
      </c>
      <c r="B105" s="4">
        <v>0</v>
      </c>
      <c r="C105" s="4">
        <v>0</v>
      </c>
      <c r="D105" s="4">
        <v>1</v>
      </c>
      <c r="E105" s="4">
        <v>201</v>
      </c>
      <c r="F105" s="4">
        <f>ROUND(Source!O103,O105)</f>
        <v>3593.13</v>
      </c>
      <c r="G105" s="4" t="s">
        <v>163</v>
      </c>
      <c r="H105" s="4" t="s">
        <v>164</v>
      </c>
      <c r="I105" s="4"/>
      <c r="J105" s="4"/>
      <c r="K105" s="4">
        <v>201</v>
      </c>
      <c r="L105" s="4">
        <v>1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/>
    </row>
    <row r="106" spans="1:245" x14ac:dyDescent="0.2">
      <c r="A106" s="4">
        <v>50</v>
      </c>
      <c r="B106" s="4">
        <v>0</v>
      </c>
      <c r="C106" s="4">
        <v>0</v>
      </c>
      <c r="D106" s="4">
        <v>1</v>
      </c>
      <c r="E106" s="4">
        <v>202</v>
      </c>
      <c r="F106" s="4">
        <f>ROUND(Source!P103,O106)</f>
        <v>0</v>
      </c>
      <c r="G106" s="4" t="s">
        <v>165</v>
      </c>
      <c r="H106" s="4" t="s">
        <v>166</v>
      </c>
      <c r="I106" s="4"/>
      <c r="J106" s="4"/>
      <c r="K106" s="4">
        <v>202</v>
      </c>
      <c r="L106" s="4">
        <v>2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/>
    </row>
    <row r="107" spans="1:245" x14ac:dyDescent="0.2">
      <c r="A107" s="4">
        <v>50</v>
      </c>
      <c r="B107" s="4">
        <v>0</v>
      </c>
      <c r="C107" s="4">
        <v>0</v>
      </c>
      <c r="D107" s="4">
        <v>1</v>
      </c>
      <c r="E107" s="4">
        <v>222</v>
      </c>
      <c r="F107" s="4">
        <f>ROUND(Source!AO103,O107)</f>
        <v>0</v>
      </c>
      <c r="G107" s="4" t="s">
        <v>167</v>
      </c>
      <c r="H107" s="4" t="s">
        <v>168</v>
      </c>
      <c r="I107" s="4"/>
      <c r="J107" s="4"/>
      <c r="K107" s="4">
        <v>222</v>
      </c>
      <c r="L107" s="4">
        <v>3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/>
    </row>
    <row r="108" spans="1:245" x14ac:dyDescent="0.2">
      <c r="A108" s="4">
        <v>50</v>
      </c>
      <c r="B108" s="4">
        <v>0</v>
      </c>
      <c r="C108" s="4">
        <v>0</v>
      </c>
      <c r="D108" s="4">
        <v>1</v>
      </c>
      <c r="E108" s="4">
        <v>225</v>
      </c>
      <c r="F108" s="4">
        <f>ROUND(Source!AV103,O108)</f>
        <v>0</v>
      </c>
      <c r="G108" s="4" t="s">
        <v>169</v>
      </c>
      <c r="H108" s="4" t="s">
        <v>170</v>
      </c>
      <c r="I108" s="4"/>
      <c r="J108" s="4"/>
      <c r="K108" s="4">
        <v>225</v>
      </c>
      <c r="L108" s="4">
        <v>4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/>
    </row>
    <row r="109" spans="1:245" x14ac:dyDescent="0.2">
      <c r="A109" s="4">
        <v>50</v>
      </c>
      <c r="B109" s="4">
        <v>0</v>
      </c>
      <c r="C109" s="4">
        <v>0</v>
      </c>
      <c r="D109" s="4">
        <v>1</v>
      </c>
      <c r="E109" s="4">
        <v>226</v>
      </c>
      <c r="F109" s="4">
        <f>ROUND(Source!AW103,O109)</f>
        <v>0</v>
      </c>
      <c r="G109" s="4" t="s">
        <v>171</v>
      </c>
      <c r="H109" s="4" t="s">
        <v>172</v>
      </c>
      <c r="I109" s="4"/>
      <c r="J109" s="4"/>
      <c r="K109" s="4">
        <v>226</v>
      </c>
      <c r="L109" s="4">
        <v>5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/>
    </row>
    <row r="110" spans="1:245" x14ac:dyDescent="0.2">
      <c r="A110" s="4">
        <v>50</v>
      </c>
      <c r="B110" s="4">
        <v>0</v>
      </c>
      <c r="C110" s="4">
        <v>0</v>
      </c>
      <c r="D110" s="4">
        <v>1</v>
      </c>
      <c r="E110" s="4">
        <v>227</v>
      </c>
      <c r="F110" s="4">
        <f>ROUND(Source!AX103,O110)</f>
        <v>0</v>
      </c>
      <c r="G110" s="4" t="s">
        <v>173</v>
      </c>
      <c r="H110" s="4" t="s">
        <v>174</v>
      </c>
      <c r="I110" s="4"/>
      <c r="J110" s="4"/>
      <c r="K110" s="4">
        <v>227</v>
      </c>
      <c r="L110" s="4">
        <v>6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/>
    </row>
    <row r="111" spans="1:245" x14ac:dyDescent="0.2">
      <c r="A111" s="4">
        <v>50</v>
      </c>
      <c r="B111" s="4">
        <v>0</v>
      </c>
      <c r="C111" s="4">
        <v>0</v>
      </c>
      <c r="D111" s="4">
        <v>1</v>
      </c>
      <c r="E111" s="4">
        <v>228</v>
      </c>
      <c r="F111" s="4">
        <f>ROUND(Source!AY103,O111)</f>
        <v>0</v>
      </c>
      <c r="G111" s="4" t="s">
        <v>175</v>
      </c>
      <c r="H111" s="4" t="s">
        <v>176</v>
      </c>
      <c r="I111" s="4"/>
      <c r="J111" s="4"/>
      <c r="K111" s="4">
        <v>228</v>
      </c>
      <c r="L111" s="4">
        <v>7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/>
    </row>
    <row r="112" spans="1:245" x14ac:dyDescent="0.2">
      <c r="A112" s="4">
        <v>50</v>
      </c>
      <c r="B112" s="4">
        <v>0</v>
      </c>
      <c r="C112" s="4">
        <v>0</v>
      </c>
      <c r="D112" s="4">
        <v>1</v>
      </c>
      <c r="E112" s="4">
        <v>216</v>
      </c>
      <c r="F112" s="4">
        <f>ROUND(Source!AP103,O112)</f>
        <v>0</v>
      </c>
      <c r="G112" s="4" t="s">
        <v>177</v>
      </c>
      <c r="H112" s="4" t="s">
        <v>178</v>
      </c>
      <c r="I112" s="4"/>
      <c r="J112" s="4"/>
      <c r="K112" s="4">
        <v>216</v>
      </c>
      <c r="L112" s="4">
        <v>8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/>
    </row>
    <row r="113" spans="1:23" x14ac:dyDescent="0.2">
      <c r="A113" s="4">
        <v>50</v>
      </c>
      <c r="B113" s="4">
        <v>0</v>
      </c>
      <c r="C113" s="4">
        <v>0</v>
      </c>
      <c r="D113" s="4">
        <v>1</v>
      </c>
      <c r="E113" s="4">
        <v>223</v>
      </c>
      <c r="F113" s="4">
        <f>ROUND(Source!AQ103,O113)</f>
        <v>0</v>
      </c>
      <c r="G113" s="4" t="s">
        <v>179</v>
      </c>
      <c r="H113" s="4" t="s">
        <v>180</v>
      </c>
      <c r="I113" s="4"/>
      <c r="J113" s="4"/>
      <c r="K113" s="4">
        <v>223</v>
      </c>
      <c r="L113" s="4">
        <v>9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/>
    </row>
    <row r="114" spans="1:23" x14ac:dyDescent="0.2">
      <c r="A114" s="4">
        <v>50</v>
      </c>
      <c r="B114" s="4">
        <v>0</v>
      </c>
      <c r="C114" s="4">
        <v>0</v>
      </c>
      <c r="D114" s="4">
        <v>1</v>
      </c>
      <c r="E114" s="4">
        <v>229</v>
      </c>
      <c r="F114" s="4">
        <f>ROUND(Source!AZ103,O114)</f>
        <v>0</v>
      </c>
      <c r="G114" s="4" t="s">
        <v>181</v>
      </c>
      <c r="H114" s="4" t="s">
        <v>182</v>
      </c>
      <c r="I114" s="4"/>
      <c r="J114" s="4"/>
      <c r="K114" s="4">
        <v>229</v>
      </c>
      <c r="L114" s="4">
        <v>10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/>
    </row>
    <row r="115" spans="1:23" x14ac:dyDescent="0.2">
      <c r="A115" s="4">
        <v>50</v>
      </c>
      <c r="B115" s="4">
        <v>0</v>
      </c>
      <c r="C115" s="4">
        <v>0</v>
      </c>
      <c r="D115" s="4">
        <v>1</v>
      </c>
      <c r="E115" s="4">
        <v>203</v>
      </c>
      <c r="F115" s="4">
        <f>ROUND(Source!Q103,O115)</f>
        <v>1551.82</v>
      </c>
      <c r="G115" s="4" t="s">
        <v>183</v>
      </c>
      <c r="H115" s="4" t="s">
        <v>184</v>
      </c>
      <c r="I115" s="4"/>
      <c r="J115" s="4"/>
      <c r="K115" s="4">
        <v>203</v>
      </c>
      <c r="L115" s="4">
        <v>11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/>
    </row>
    <row r="116" spans="1:23" x14ac:dyDescent="0.2">
      <c r="A116" s="4">
        <v>50</v>
      </c>
      <c r="B116" s="4">
        <v>0</v>
      </c>
      <c r="C116" s="4">
        <v>0</v>
      </c>
      <c r="D116" s="4">
        <v>1</v>
      </c>
      <c r="E116" s="4">
        <v>231</v>
      </c>
      <c r="F116" s="4">
        <f>ROUND(Source!BB103,O116)</f>
        <v>0</v>
      </c>
      <c r="G116" s="4" t="s">
        <v>185</v>
      </c>
      <c r="H116" s="4" t="s">
        <v>186</v>
      </c>
      <c r="I116" s="4"/>
      <c r="J116" s="4"/>
      <c r="K116" s="4">
        <v>231</v>
      </c>
      <c r="L116" s="4">
        <v>12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/>
    </row>
    <row r="117" spans="1:23" x14ac:dyDescent="0.2">
      <c r="A117" s="4">
        <v>50</v>
      </c>
      <c r="B117" s="4">
        <v>0</v>
      </c>
      <c r="C117" s="4">
        <v>0</v>
      </c>
      <c r="D117" s="4">
        <v>1</v>
      </c>
      <c r="E117" s="4">
        <v>204</v>
      </c>
      <c r="F117" s="4">
        <f>ROUND(Source!R103,O117)</f>
        <v>589.91999999999996</v>
      </c>
      <c r="G117" s="4" t="s">
        <v>187</v>
      </c>
      <c r="H117" s="4" t="s">
        <v>188</v>
      </c>
      <c r="I117" s="4"/>
      <c r="J117" s="4"/>
      <c r="K117" s="4">
        <v>204</v>
      </c>
      <c r="L117" s="4">
        <v>13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/>
    </row>
    <row r="118" spans="1:23" x14ac:dyDescent="0.2">
      <c r="A118" s="4">
        <v>50</v>
      </c>
      <c r="B118" s="4">
        <v>0</v>
      </c>
      <c r="C118" s="4">
        <v>0</v>
      </c>
      <c r="D118" s="4">
        <v>1</v>
      </c>
      <c r="E118" s="4">
        <v>205</v>
      </c>
      <c r="F118" s="4">
        <f>ROUND(Source!S103,O118)</f>
        <v>2041.31</v>
      </c>
      <c r="G118" s="4" t="s">
        <v>189</v>
      </c>
      <c r="H118" s="4" t="s">
        <v>190</v>
      </c>
      <c r="I118" s="4"/>
      <c r="J118" s="4"/>
      <c r="K118" s="4">
        <v>205</v>
      </c>
      <c r="L118" s="4">
        <v>14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/>
    </row>
    <row r="119" spans="1:23" x14ac:dyDescent="0.2">
      <c r="A119" s="4">
        <v>50</v>
      </c>
      <c r="B119" s="4">
        <v>0</v>
      </c>
      <c r="C119" s="4">
        <v>0</v>
      </c>
      <c r="D119" s="4">
        <v>1</v>
      </c>
      <c r="E119" s="4">
        <v>232</v>
      </c>
      <c r="F119" s="4">
        <f>ROUND(Source!BC103,O119)</f>
        <v>0</v>
      </c>
      <c r="G119" s="4" t="s">
        <v>191</v>
      </c>
      <c r="H119" s="4" t="s">
        <v>192</v>
      </c>
      <c r="I119" s="4"/>
      <c r="J119" s="4"/>
      <c r="K119" s="4">
        <v>232</v>
      </c>
      <c r="L119" s="4">
        <v>15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/>
    </row>
    <row r="120" spans="1:23" x14ac:dyDescent="0.2">
      <c r="A120" s="4">
        <v>50</v>
      </c>
      <c r="B120" s="4">
        <v>0</v>
      </c>
      <c r="C120" s="4">
        <v>0</v>
      </c>
      <c r="D120" s="4">
        <v>1</v>
      </c>
      <c r="E120" s="4">
        <v>214</v>
      </c>
      <c r="F120" s="4">
        <f>ROUND(Source!AS103,O120)</f>
        <v>3444.59</v>
      </c>
      <c r="G120" s="4" t="s">
        <v>193</v>
      </c>
      <c r="H120" s="4" t="s">
        <v>194</v>
      </c>
      <c r="I120" s="4"/>
      <c r="J120" s="4"/>
      <c r="K120" s="4">
        <v>214</v>
      </c>
      <c r="L120" s="4">
        <v>16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/>
    </row>
    <row r="121" spans="1:23" x14ac:dyDescent="0.2">
      <c r="A121" s="4">
        <v>50</v>
      </c>
      <c r="B121" s="4">
        <v>0</v>
      </c>
      <c r="C121" s="4">
        <v>0</v>
      </c>
      <c r="D121" s="4">
        <v>1</v>
      </c>
      <c r="E121" s="4">
        <v>215</v>
      </c>
      <c r="F121" s="4">
        <f>ROUND(Source!AT103,O121)</f>
        <v>3854.53</v>
      </c>
      <c r="G121" s="4" t="s">
        <v>195</v>
      </c>
      <c r="H121" s="4" t="s">
        <v>196</v>
      </c>
      <c r="I121" s="4"/>
      <c r="J121" s="4"/>
      <c r="K121" s="4">
        <v>215</v>
      </c>
      <c r="L121" s="4">
        <v>17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/>
    </row>
    <row r="122" spans="1:23" x14ac:dyDescent="0.2">
      <c r="A122" s="4">
        <v>50</v>
      </c>
      <c r="B122" s="4">
        <v>0</v>
      </c>
      <c r="C122" s="4">
        <v>0</v>
      </c>
      <c r="D122" s="4">
        <v>1</v>
      </c>
      <c r="E122" s="4">
        <v>217</v>
      </c>
      <c r="F122" s="4">
        <f>ROUND(Source!AU103,O122)</f>
        <v>0</v>
      </c>
      <c r="G122" s="4" t="s">
        <v>197</v>
      </c>
      <c r="H122" s="4" t="s">
        <v>198</v>
      </c>
      <c r="I122" s="4"/>
      <c r="J122" s="4"/>
      <c r="K122" s="4">
        <v>217</v>
      </c>
      <c r="L122" s="4">
        <v>18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/>
    </row>
    <row r="123" spans="1:23" x14ac:dyDescent="0.2">
      <c r="A123" s="4">
        <v>50</v>
      </c>
      <c r="B123" s="4">
        <v>0</v>
      </c>
      <c r="C123" s="4">
        <v>0</v>
      </c>
      <c r="D123" s="4">
        <v>1</v>
      </c>
      <c r="E123" s="4">
        <v>230</v>
      </c>
      <c r="F123" s="4">
        <f>ROUND(Source!BA103,O123)</f>
        <v>0</v>
      </c>
      <c r="G123" s="4" t="s">
        <v>199</v>
      </c>
      <c r="H123" s="4" t="s">
        <v>200</v>
      </c>
      <c r="I123" s="4"/>
      <c r="J123" s="4"/>
      <c r="K123" s="4">
        <v>230</v>
      </c>
      <c r="L123" s="4">
        <v>19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/>
    </row>
    <row r="124" spans="1:23" x14ac:dyDescent="0.2">
      <c r="A124" s="4">
        <v>50</v>
      </c>
      <c r="B124" s="4">
        <v>0</v>
      </c>
      <c r="C124" s="4">
        <v>0</v>
      </c>
      <c r="D124" s="4">
        <v>1</v>
      </c>
      <c r="E124" s="4">
        <v>206</v>
      </c>
      <c r="F124" s="4">
        <f>ROUND(Source!T103,O124)</f>
        <v>0</v>
      </c>
      <c r="G124" s="4" t="s">
        <v>201</v>
      </c>
      <c r="H124" s="4" t="s">
        <v>202</v>
      </c>
      <c r="I124" s="4"/>
      <c r="J124" s="4"/>
      <c r="K124" s="4">
        <v>206</v>
      </c>
      <c r="L124" s="4">
        <v>20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/>
    </row>
    <row r="125" spans="1:23" x14ac:dyDescent="0.2">
      <c r="A125" s="4">
        <v>50</v>
      </c>
      <c r="B125" s="4">
        <v>0</v>
      </c>
      <c r="C125" s="4">
        <v>0</v>
      </c>
      <c r="D125" s="4">
        <v>1</v>
      </c>
      <c r="E125" s="4">
        <v>207</v>
      </c>
      <c r="F125" s="4">
        <f>Source!U103</f>
        <v>8.4971040000000002</v>
      </c>
      <c r="G125" s="4" t="s">
        <v>203</v>
      </c>
      <c r="H125" s="4" t="s">
        <v>204</v>
      </c>
      <c r="I125" s="4"/>
      <c r="J125" s="4"/>
      <c r="K125" s="4">
        <v>207</v>
      </c>
      <c r="L125" s="4">
        <v>21</v>
      </c>
      <c r="M125" s="4">
        <v>3</v>
      </c>
      <c r="N125" s="4" t="s">
        <v>3</v>
      </c>
      <c r="O125" s="4">
        <v>-1</v>
      </c>
      <c r="P125" s="4"/>
      <c r="Q125" s="4"/>
      <c r="R125" s="4"/>
      <c r="S125" s="4"/>
      <c r="T125" s="4"/>
      <c r="U125" s="4"/>
      <c r="V125" s="4"/>
      <c r="W125" s="4"/>
    </row>
    <row r="126" spans="1:23" x14ac:dyDescent="0.2">
      <c r="A126" s="4">
        <v>50</v>
      </c>
      <c r="B126" s="4">
        <v>0</v>
      </c>
      <c r="C126" s="4">
        <v>0</v>
      </c>
      <c r="D126" s="4">
        <v>1</v>
      </c>
      <c r="E126" s="4">
        <v>208</v>
      </c>
      <c r="F126" s="4">
        <f>Source!V103</f>
        <v>1.83792</v>
      </c>
      <c r="G126" s="4" t="s">
        <v>205</v>
      </c>
      <c r="H126" s="4" t="s">
        <v>206</v>
      </c>
      <c r="I126" s="4"/>
      <c r="J126" s="4"/>
      <c r="K126" s="4">
        <v>208</v>
      </c>
      <c r="L126" s="4">
        <v>22</v>
      </c>
      <c r="M126" s="4">
        <v>3</v>
      </c>
      <c r="N126" s="4" t="s">
        <v>3</v>
      </c>
      <c r="O126" s="4">
        <v>-1</v>
      </c>
      <c r="P126" s="4"/>
      <c r="Q126" s="4"/>
      <c r="R126" s="4"/>
      <c r="S126" s="4"/>
      <c r="T126" s="4"/>
      <c r="U126" s="4"/>
      <c r="V126" s="4"/>
      <c r="W126" s="4"/>
    </row>
    <row r="127" spans="1:23" x14ac:dyDescent="0.2">
      <c r="A127" s="4">
        <v>50</v>
      </c>
      <c r="B127" s="4">
        <v>0</v>
      </c>
      <c r="C127" s="4">
        <v>0</v>
      </c>
      <c r="D127" s="4">
        <v>1</v>
      </c>
      <c r="E127" s="4">
        <v>209</v>
      </c>
      <c r="F127" s="4">
        <f>ROUND(Source!W103,O127)</f>
        <v>0</v>
      </c>
      <c r="G127" s="4" t="s">
        <v>207</v>
      </c>
      <c r="H127" s="4" t="s">
        <v>208</v>
      </c>
      <c r="I127" s="4"/>
      <c r="J127" s="4"/>
      <c r="K127" s="4">
        <v>209</v>
      </c>
      <c r="L127" s="4">
        <v>23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/>
    </row>
    <row r="128" spans="1:23" x14ac:dyDescent="0.2">
      <c r="A128" s="4">
        <v>50</v>
      </c>
      <c r="B128" s="4">
        <v>0</v>
      </c>
      <c r="C128" s="4">
        <v>0</v>
      </c>
      <c r="D128" s="4">
        <v>1</v>
      </c>
      <c r="E128" s="4">
        <v>210</v>
      </c>
      <c r="F128" s="4">
        <f>ROUND(Source!X103,O128)</f>
        <v>2085.1999999999998</v>
      </c>
      <c r="G128" s="4" t="s">
        <v>209</v>
      </c>
      <c r="H128" s="4" t="s">
        <v>210</v>
      </c>
      <c r="I128" s="4"/>
      <c r="J128" s="4"/>
      <c r="K128" s="4">
        <v>210</v>
      </c>
      <c r="L128" s="4">
        <v>24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/>
    </row>
    <row r="129" spans="1:206" x14ac:dyDescent="0.2">
      <c r="A129" s="4">
        <v>50</v>
      </c>
      <c r="B129" s="4">
        <v>0</v>
      </c>
      <c r="C129" s="4">
        <v>0</v>
      </c>
      <c r="D129" s="4">
        <v>1</v>
      </c>
      <c r="E129" s="4">
        <v>211</v>
      </c>
      <c r="F129" s="4">
        <f>ROUND(Source!Y103,O129)</f>
        <v>1552.61</v>
      </c>
      <c r="G129" s="4" t="s">
        <v>211</v>
      </c>
      <c r="H129" s="4" t="s">
        <v>212</v>
      </c>
      <c r="I129" s="4"/>
      <c r="J129" s="4"/>
      <c r="K129" s="4">
        <v>211</v>
      </c>
      <c r="L129" s="4">
        <v>25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/>
    </row>
    <row r="130" spans="1:206" x14ac:dyDescent="0.2">
      <c r="A130" s="4">
        <v>50</v>
      </c>
      <c r="B130" s="4">
        <v>0</v>
      </c>
      <c r="C130" s="4">
        <v>0</v>
      </c>
      <c r="D130" s="4">
        <v>1</v>
      </c>
      <c r="E130" s="4">
        <v>224</v>
      </c>
      <c r="F130" s="4">
        <f>ROUND(Source!AR103,O130)</f>
        <v>7299.12</v>
      </c>
      <c r="G130" s="4" t="s">
        <v>213</v>
      </c>
      <c r="H130" s="4" t="s">
        <v>214</v>
      </c>
      <c r="I130" s="4"/>
      <c r="J130" s="4"/>
      <c r="K130" s="4">
        <v>224</v>
      </c>
      <c r="L130" s="4">
        <v>26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/>
    </row>
    <row r="132" spans="1:206" x14ac:dyDescent="0.2">
      <c r="A132" s="2">
        <v>51</v>
      </c>
      <c r="B132" s="2">
        <f>B20</f>
        <v>1</v>
      </c>
      <c r="C132" s="2">
        <f>A20</f>
        <v>3</v>
      </c>
      <c r="D132" s="2">
        <f>ROW(A20)</f>
        <v>20</v>
      </c>
      <c r="E132" s="2"/>
      <c r="F132" s="2" t="str">
        <f>IF(F20&lt;&gt;"",F20,"")</f>
        <v>9</v>
      </c>
      <c r="G132" s="2"/>
      <c r="H132" s="2">
        <v>0</v>
      </c>
      <c r="I132" s="2"/>
      <c r="J132" s="2"/>
      <c r="K132" s="2"/>
      <c r="L132" s="2"/>
      <c r="M132" s="2"/>
      <c r="N132" s="2"/>
      <c r="O132" s="2">
        <f t="shared" ref="O132:T132" si="77">ROUND(O58+O103+AB132,2)</f>
        <v>366710.91</v>
      </c>
      <c r="P132" s="2">
        <f t="shared" si="77"/>
        <v>313825.78000000003</v>
      </c>
      <c r="Q132" s="2">
        <f t="shared" si="77"/>
        <v>19683.72</v>
      </c>
      <c r="R132" s="2">
        <f t="shared" si="77"/>
        <v>7363.8</v>
      </c>
      <c r="S132" s="2">
        <f t="shared" si="77"/>
        <v>33201.410000000003</v>
      </c>
      <c r="T132" s="2">
        <f t="shared" si="77"/>
        <v>0</v>
      </c>
      <c r="U132" s="2">
        <f>U58+U103+AH132</f>
        <v>150.17069280000001</v>
      </c>
      <c r="V132" s="2">
        <f>V58+V103+AI132</f>
        <v>22.416739199999999</v>
      </c>
      <c r="W132" s="2">
        <f>ROUND(W58+W103+AJ132,2)</f>
        <v>0</v>
      </c>
      <c r="X132" s="2">
        <f>ROUND(X58+X103+AK132,2)</f>
        <v>37136.699999999997</v>
      </c>
      <c r="Y132" s="2">
        <f>ROUND(Y58+Y103+AL132,2)</f>
        <v>23436.21</v>
      </c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>
        <f t="shared" ref="AO132:BC132" si="78">ROUND(AO58+AO103+BX132,2)</f>
        <v>154585.5</v>
      </c>
      <c r="AP132" s="2">
        <f t="shared" si="78"/>
        <v>0</v>
      </c>
      <c r="AQ132" s="2">
        <f t="shared" si="78"/>
        <v>0</v>
      </c>
      <c r="AR132" s="2">
        <f t="shared" si="78"/>
        <v>437787.11</v>
      </c>
      <c r="AS132" s="2">
        <f t="shared" si="78"/>
        <v>245001.86</v>
      </c>
      <c r="AT132" s="2">
        <f t="shared" si="78"/>
        <v>192257.73</v>
      </c>
      <c r="AU132" s="2">
        <f t="shared" si="78"/>
        <v>527.52</v>
      </c>
      <c r="AV132" s="2">
        <f t="shared" si="78"/>
        <v>159240.28</v>
      </c>
      <c r="AW132" s="2">
        <f t="shared" si="78"/>
        <v>313825.78000000003</v>
      </c>
      <c r="AX132" s="2">
        <f t="shared" si="78"/>
        <v>154585.5</v>
      </c>
      <c r="AY132" s="2">
        <f t="shared" si="78"/>
        <v>159240.28</v>
      </c>
      <c r="AZ132" s="2">
        <f t="shared" si="78"/>
        <v>0</v>
      </c>
      <c r="BA132" s="2">
        <f t="shared" si="78"/>
        <v>0</v>
      </c>
      <c r="BB132" s="2">
        <f t="shared" si="78"/>
        <v>0</v>
      </c>
      <c r="BC132" s="2">
        <f t="shared" si="78"/>
        <v>0</v>
      </c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3"/>
      <c r="FF132" s="3"/>
      <c r="FG132" s="3"/>
      <c r="FH132" s="3"/>
      <c r="FI132" s="3"/>
      <c r="FJ132" s="3"/>
      <c r="FK132" s="3"/>
      <c r="FL132" s="3"/>
      <c r="FM132" s="3"/>
      <c r="FN132" s="3"/>
      <c r="FO132" s="3"/>
      <c r="FP132" s="3"/>
      <c r="FQ132" s="3"/>
      <c r="FR132" s="3"/>
      <c r="FS132" s="3"/>
      <c r="FT132" s="3"/>
      <c r="FU132" s="3"/>
      <c r="FV132" s="3"/>
      <c r="FW132" s="3"/>
      <c r="FX132" s="3"/>
      <c r="FY132" s="3"/>
      <c r="FZ132" s="3"/>
      <c r="GA132" s="3"/>
      <c r="GB132" s="3"/>
      <c r="GC132" s="3"/>
      <c r="GD132" s="3"/>
      <c r="GE132" s="3"/>
      <c r="GF132" s="3"/>
      <c r="GG132" s="3"/>
      <c r="GH132" s="3"/>
      <c r="GI132" s="3"/>
      <c r="GJ132" s="3"/>
      <c r="GK132" s="3"/>
      <c r="GL132" s="3"/>
      <c r="GM132" s="3"/>
      <c r="GN132" s="3"/>
      <c r="GO132" s="3"/>
      <c r="GP132" s="3"/>
      <c r="GQ132" s="3"/>
      <c r="GR132" s="3"/>
      <c r="GS132" s="3"/>
      <c r="GT132" s="3"/>
      <c r="GU132" s="3"/>
      <c r="GV132" s="3"/>
      <c r="GW132" s="3"/>
      <c r="GX132" s="3">
        <v>0</v>
      </c>
    </row>
    <row r="134" spans="1:206" x14ac:dyDescent="0.2">
      <c r="A134" s="4">
        <v>50</v>
      </c>
      <c r="B134" s="4">
        <v>0</v>
      </c>
      <c r="C134" s="4">
        <v>0</v>
      </c>
      <c r="D134" s="4">
        <v>1</v>
      </c>
      <c r="E134" s="4">
        <v>201</v>
      </c>
      <c r="F134" s="4">
        <f>ROUND(Source!O132,O134)</f>
        <v>366710.91</v>
      </c>
      <c r="G134" s="4" t="s">
        <v>163</v>
      </c>
      <c r="H134" s="4" t="s">
        <v>164</v>
      </c>
      <c r="I134" s="4"/>
      <c r="J134" s="4"/>
      <c r="K134" s="4">
        <v>201</v>
      </c>
      <c r="L134" s="4">
        <v>1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/>
    </row>
    <row r="135" spans="1:206" x14ac:dyDescent="0.2">
      <c r="A135" s="4">
        <v>50</v>
      </c>
      <c r="B135" s="4">
        <v>0</v>
      </c>
      <c r="C135" s="4">
        <v>0</v>
      </c>
      <c r="D135" s="4">
        <v>1</v>
      </c>
      <c r="E135" s="4">
        <v>202</v>
      </c>
      <c r="F135" s="4">
        <f>ROUND(Source!P132,O135)</f>
        <v>313825.78000000003</v>
      </c>
      <c r="G135" s="4" t="s">
        <v>165</v>
      </c>
      <c r="H135" s="4" t="s">
        <v>166</v>
      </c>
      <c r="I135" s="4"/>
      <c r="J135" s="4"/>
      <c r="K135" s="4">
        <v>202</v>
      </c>
      <c r="L135" s="4">
        <v>2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06" x14ac:dyDescent="0.2">
      <c r="A136" s="4">
        <v>50</v>
      </c>
      <c r="B136" s="4">
        <v>0</v>
      </c>
      <c r="C136" s="4">
        <v>0</v>
      </c>
      <c r="D136" s="4">
        <v>1</v>
      </c>
      <c r="E136" s="4">
        <v>222</v>
      </c>
      <c r="F136" s="4">
        <f>ROUND(Source!AO132,O136)</f>
        <v>154585.5</v>
      </c>
      <c r="G136" s="4" t="s">
        <v>167</v>
      </c>
      <c r="H136" s="4" t="s">
        <v>168</v>
      </c>
      <c r="I136" s="4"/>
      <c r="J136" s="4"/>
      <c r="K136" s="4">
        <v>222</v>
      </c>
      <c r="L136" s="4">
        <v>3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06" x14ac:dyDescent="0.2">
      <c r="A137" s="4">
        <v>50</v>
      </c>
      <c r="B137" s="4">
        <v>0</v>
      </c>
      <c r="C137" s="4">
        <v>0</v>
      </c>
      <c r="D137" s="4">
        <v>1</v>
      </c>
      <c r="E137" s="4">
        <v>225</v>
      </c>
      <c r="F137" s="4">
        <f>ROUND(Source!AV132,O137)</f>
        <v>159240.28</v>
      </c>
      <c r="G137" s="4" t="s">
        <v>169</v>
      </c>
      <c r="H137" s="4" t="s">
        <v>170</v>
      </c>
      <c r="I137" s="4"/>
      <c r="J137" s="4"/>
      <c r="K137" s="4">
        <v>225</v>
      </c>
      <c r="L137" s="4">
        <v>4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06" x14ac:dyDescent="0.2">
      <c r="A138" s="4">
        <v>50</v>
      </c>
      <c r="B138" s="4">
        <v>0</v>
      </c>
      <c r="C138" s="4">
        <v>0</v>
      </c>
      <c r="D138" s="4">
        <v>1</v>
      </c>
      <c r="E138" s="4">
        <v>226</v>
      </c>
      <c r="F138" s="4">
        <f>ROUND(Source!AW132,O138)</f>
        <v>313825.78000000003</v>
      </c>
      <c r="G138" s="4" t="s">
        <v>171</v>
      </c>
      <c r="H138" s="4" t="s">
        <v>172</v>
      </c>
      <c r="I138" s="4"/>
      <c r="J138" s="4"/>
      <c r="K138" s="4">
        <v>226</v>
      </c>
      <c r="L138" s="4">
        <v>5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/>
    </row>
    <row r="139" spans="1:206" x14ac:dyDescent="0.2">
      <c r="A139" s="4">
        <v>50</v>
      </c>
      <c r="B139" s="4">
        <v>1</v>
      </c>
      <c r="C139" s="4">
        <v>0</v>
      </c>
      <c r="D139" s="4">
        <v>1</v>
      </c>
      <c r="E139" s="4">
        <v>227</v>
      </c>
      <c r="F139" s="4">
        <f>ROUND(Source!AX132,O139)</f>
        <v>154585.5</v>
      </c>
      <c r="G139" s="4" t="s">
        <v>173</v>
      </c>
      <c r="H139" s="4" t="s">
        <v>174</v>
      </c>
      <c r="I139" s="4"/>
      <c r="J139" s="4"/>
      <c r="K139" s="4">
        <v>227</v>
      </c>
      <c r="L139" s="4">
        <v>6</v>
      </c>
      <c r="M139" s="4">
        <v>0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/>
    </row>
    <row r="140" spans="1:206" x14ac:dyDescent="0.2">
      <c r="A140" s="4">
        <v>50</v>
      </c>
      <c r="B140" s="4">
        <v>0</v>
      </c>
      <c r="C140" s="4">
        <v>0</v>
      </c>
      <c r="D140" s="4">
        <v>1</v>
      </c>
      <c r="E140" s="4">
        <v>228</v>
      </c>
      <c r="F140" s="4">
        <f>ROUND(Source!AY132,O140)</f>
        <v>159240.28</v>
      </c>
      <c r="G140" s="4" t="s">
        <v>175</v>
      </c>
      <c r="H140" s="4" t="s">
        <v>176</v>
      </c>
      <c r="I140" s="4"/>
      <c r="J140" s="4"/>
      <c r="K140" s="4">
        <v>228</v>
      </c>
      <c r="L140" s="4">
        <v>7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06" x14ac:dyDescent="0.2">
      <c r="A141" s="4">
        <v>50</v>
      </c>
      <c r="B141" s="4">
        <v>0</v>
      </c>
      <c r="C141" s="4">
        <v>0</v>
      </c>
      <c r="D141" s="4">
        <v>1</v>
      </c>
      <c r="E141" s="4">
        <v>216</v>
      </c>
      <c r="F141" s="4">
        <f>ROUND(Source!AP132,O141)</f>
        <v>0</v>
      </c>
      <c r="G141" s="4" t="s">
        <v>177</v>
      </c>
      <c r="H141" s="4" t="s">
        <v>178</v>
      </c>
      <c r="I141" s="4"/>
      <c r="J141" s="4"/>
      <c r="K141" s="4">
        <v>216</v>
      </c>
      <c r="L141" s="4">
        <v>8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06" x14ac:dyDescent="0.2">
      <c r="A142" s="4">
        <v>50</v>
      </c>
      <c r="B142" s="4">
        <v>0</v>
      </c>
      <c r="C142" s="4">
        <v>0</v>
      </c>
      <c r="D142" s="4">
        <v>1</v>
      </c>
      <c r="E142" s="4">
        <v>223</v>
      </c>
      <c r="F142" s="4">
        <f>ROUND(Source!AQ132,O142)</f>
        <v>0</v>
      </c>
      <c r="G142" s="4" t="s">
        <v>179</v>
      </c>
      <c r="H142" s="4" t="s">
        <v>180</v>
      </c>
      <c r="I142" s="4"/>
      <c r="J142" s="4"/>
      <c r="K142" s="4">
        <v>223</v>
      </c>
      <c r="L142" s="4">
        <v>9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06" x14ac:dyDescent="0.2">
      <c r="A143" s="4">
        <v>50</v>
      </c>
      <c r="B143" s="4">
        <v>0</v>
      </c>
      <c r="C143" s="4">
        <v>0</v>
      </c>
      <c r="D143" s="4">
        <v>1</v>
      </c>
      <c r="E143" s="4">
        <v>229</v>
      </c>
      <c r="F143" s="4">
        <f>ROUND(Source!AZ132,O143)</f>
        <v>0</v>
      </c>
      <c r="G143" s="4" t="s">
        <v>181</v>
      </c>
      <c r="H143" s="4" t="s">
        <v>182</v>
      </c>
      <c r="I143" s="4"/>
      <c r="J143" s="4"/>
      <c r="K143" s="4">
        <v>229</v>
      </c>
      <c r="L143" s="4">
        <v>10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/>
    </row>
    <row r="144" spans="1:206" x14ac:dyDescent="0.2">
      <c r="A144" s="4">
        <v>50</v>
      </c>
      <c r="B144" s="4">
        <v>0</v>
      </c>
      <c r="C144" s="4">
        <v>0</v>
      </c>
      <c r="D144" s="4">
        <v>1</v>
      </c>
      <c r="E144" s="4">
        <v>203</v>
      </c>
      <c r="F144" s="4">
        <f>ROUND(Source!Q132,O144)</f>
        <v>19683.72</v>
      </c>
      <c r="G144" s="4" t="s">
        <v>183</v>
      </c>
      <c r="H144" s="4" t="s">
        <v>184</v>
      </c>
      <c r="I144" s="4"/>
      <c r="J144" s="4"/>
      <c r="K144" s="4">
        <v>203</v>
      </c>
      <c r="L144" s="4">
        <v>11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/>
    </row>
    <row r="145" spans="1:23" x14ac:dyDescent="0.2">
      <c r="A145" s="4">
        <v>50</v>
      </c>
      <c r="B145" s="4">
        <v>0</v>
      </c>
      <c r="C145" s="4">
        <v>0</v>
      </c>
      <c r="D145" s="4">
        <v>1</v>
      </c>
      <c r="E145" s="4">
        <v>231</v>
      </c>
      <c r="F145" s="4">
        <f>ROUND(Source!BB132,O145)</f>
        <v>0</v>
      </c>
      <c r="G145" s="4" t="s">
        <v>185</v>
      </c>
      <c r="H145" s="4" t="s">
        <v>186</v>
      </c>
      <c r="I145" s="4"/>
      <c r="J145" s="4"/>
      <c r="K145" s="4">
        <v>231</v>
      </c>
      <c r="L145" s="4">
        <v>12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/>
    </row>
    <row r="146" spans="1:23" x14ac:dyDescent="0.2">
      <c r="A146" s="4">
        <v>50</v>
      </c>
      <c r="B146" s="4">
        <v>0</v>
      </c>
      <c r="C146" s="4">
        <v>0</v>
      </c>
      <c r="D146" s="4">
        <v>1</v>
      </c>
      <c r="E146" s="4">
        <v>204</v>
      </c>
      <c r="F146" s="4">
        <f>ROUND(Source!R132,O146)</f>
        <v>7363.8</v>
      </c>
      <c r="G146" s="4" t="s">
        <v>187</v>
      </c>
      <c r="H146" s="4" t="s">
        <v>188</v>
      </c>
      <c r="I146" s="4"/>
      <c r="J146" s="4"/>
      <c r="K146" s="4">
        <v>204</v>
      </c>
      <c r="L146" s="4">
        <v>13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/>
    </row>
    <row r="147" spans="1:23" x14ac:dyDescent="0.2">
      <c r="A147" s="4">
        <v>50</v>
      </c>
      <c r="B147" s="4">
        <v>0</v>
      </c>
      <c r="C147" s="4">
        <v>0</v>
      </c>
      <c r="D147" s="4">
        <v>1</v>
      </c>
      <c r="E147" s="4">
        <v>205</v>
      </c>
      <c r="F147" s="4">
        <f>ROUND(Source!S132,O147)</f>
        <v>33201.410000000003</v>
      </c>
      <c r="G147" s="4" t="s">
        <v>189</v>
      </c>
      <c r="H147" s="4" t="s">
        <v>190</v>
      </c>
      <c r="I147" s="4"/>
      <c r="J147" s="4"/>
      <c r="K147" s="4">
        <v>205</v>
      </c>
      <c r="L147" s="4">
        <v>14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/>
    </row>
    <row r="148" spans="1:23" x14ac:dyDescent="0.2">
      <c r="A148" s="4">
        <v>50</v>
      </c>
      <c r="B148" s="4">
        <v>0</v>
      </c>
      <c r="C148" s="4">
        <v>0</v>
      </c>
      <c r="D148" s="4">
        <v>1</v>
      </c>
      <c r="E148" s="4">
        <v>232</v>
      </c>
      <c r="F148" s="4">
        <f>ROUND(Source!BC132,O148)</f>
        <v>0</v>
      </c>
      <c r="G148" s="4" t="s">
        <v>191</v>
      </c>
      <c r="H148" s="4" t="s">
        <v>192</v>
      </c>
      <c r="I148" s="4"/>
      <c r="J148" s="4"/>
      <c r="K148" s="4">
        <v>232</v>
      </c>
      <c r="L148" s="4">
        <v>15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23" x14ac:dyDescent="0.2">
      <c r="A149" s="4">
        <v>50</v>
      </c>
      <c r="B149" s="4">
        <v>0</v>
      </c>
      <c r="C149" s="4">
        <v>0</v>
      </c>
      <c r="D149" s="4">
        <v>1</v>
      </c>
      <c r="E149" s="4">
        <v>214</v>
      </c>
      <c r="F149" s="4">
        <f>ROUND(Source!AS132,O149)</f>
        <v>245001.86</v>
      </c>
      <c r="G149" s="4" t="s">
        <v>193</v>
      </c>
      <c r="H149" s="4" t="s">
        <v>194</v>
      </c>
      <c r="I149" s="4"/>
      <c r="J149" s="4"/>
      <c r="K149" s="4">
        <v>214</v>
      </c>
      <c r="L149" s="4">
        <v>16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3" x14ac:dyDescent="0.2">
      <c r="A150" s="4">
        <v>50</v>
      </c>
      <c r="B150" s="4">
        <v>0</v>
      </c>
      <c r="C150" s="4">
        <v>0</v>
      </c>
      <c r="D150" s="4">
        <v>1</v>
      </c>
      <c r="E150" s="4">
        <v>215</v>
      </c>
      <c r="F150" s="4">
        <f>ROUND(Source!AT132,O150)</f>
        <v>192257.73</v>
      </c>
      <c r="G150" s="4" t="s">
        <v>195</v>
      </c>
      <c r="H150" s="4" t="s">
        <v>196</v>
      </c>
      <c r="I150" s="4"/>
      <c r="J150" s="4"/>
      <c r="K150" s="4">
        <v>215</v>
      </c>
      <c r="L150" s="4">
        <v>17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1" spans="1:23" x14ac:dyDescent="0.2">
      <c r="A151" s="4">
        <v>50</v>
      </c>
      <c r="B151" s="4">
        <v>0</v>
      </c>
      <c r="C151" s="4">
        <v>0</v>
      </c>
      <c r="D151" s="4">
        <v>1</v>
      </c>
      <c r="E151" s="4">
        <v>217</v>
      </c>
      <c r="F151" s="4">
        <f>ROUND(Source!AU132,O151)</f>
        <v>527.52</v>
      </c>
      <c r="G151" s="4" t="s">
        <v>197</v>
      </c>
      <c r="H151" s="4" t="s">
        <v>198</v>
      </c>
      <c r="I151" s="4"/>
      <c r="J151" s="4"/>
      <c r="K151" s="4">
        <v>217</v>
      </c>
      <c r="L151" s="4">
        <v>18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/>
    </row>
    <row r="152" spans="1:23" x14ac:dyDescent="0.2">
      <c r="A152" s="4">
        <v>50</v>
      </c>
      <c r="B152" s="4">
        <v>0</v>
      </c>
      <c r="C152" s="4">
        <v>0</v>
      </c>
      <c r="D152" s="4">
        <v>1</v>
      </c>
      <c r="E152" s="4">
        <v>230</v>
      </c>
      <c r="F152" s="4">
        <f>ROUND(Source!BA132,O152)</f>
        <v>0</v>
      </c>
      <c r="G152" s="4" t="s">
        <v>199</v>
      </c>
      <c r="H152" s="4" t="s">
        <v>200</v>
      </c>
      <c r="I152" s="4"/>
      <c r="J152" s="4"/>
      <c r="K152" s="4">
        <v>230</v>
      </c>
      <c r="L152" s="4">
        <v>19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/>
    </row>
    <row r="153" spans="1:23" x14ac:dyDescent="0.2">
      <c r="A153" s="4">
        <v>50</v>
      </c>
      <c r="B153" s="4">
        <v>0</v>
      </c>
      <c r="C153" s="4">
        <v>0</v>
      </c>
      <c r="D153" s="4">
        <v>1</v>
      </c>
      <c r="E153" s="4">
        <v>206</v>
      </c>
      <c r="F153" s="4">
        <f>ROUND(Source!T132,O153)</f>
        <v>0</v>
      </c>
      <c r="G153" s="4" t="s">
        <v>201</v>
      </c>
      <c r="H153" s="4" t="s">
        <v>202</v>
      </c>
      <c r="I153" s="4"/>
      <c r="J153" s="4"/>
      <c r="K153" s="4">
        <v>206</v>
      </c>
      <c r="L153" s="4">
        <v>20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/>
    </row>
    <row r="154" spans="1:23" x14ac:dyDescent="0.2">
      <c r="A154" s="4">
        <v>50</v>
      </c>
      <c r="B154" s="4">
        <v>0</v>
      </c>
      <c r="C154" s="4">
        <v>0</v>
      </c>
      <c r="D154" s="4">
        <v>1</v>
      </c>
      <c r="E154" s="4">
        <v>207</v>
      </c>
      <c r="F154" s="4">
        <f>Source!U132</f>
        <v>150.17069280000001</v>
      </c>
      <c r="G154" s="4" t="s">
        <v>203</v>
      </c>
      <c r="H154" s="4" t="s">
        <v>204</v>
      </c>
      <c r="I154" s="4"/>
      <c r="J154" s="4"/>
      <c r="K154" s="4">
        <v>207</v>
      </c>
      <c r="L154" s="4">
        <v>21</v>
      </c>
      <c r="M154" s="4">
        <v>3</v>
      </c>
      <c r="N154" s="4" t="s">
        <v>3</v>
      </c>
      <c r="O154" s="4">
        <v>-1</v>
      </c>
      <c r="P154" s="4"/>
      <c r="Q154" s="4"/>
      <c r="R154" s="4"/>
      <c r="S154" s="4"/>
      <c r="T154" s="4"/>
      <c r="U154" s="4"/>
      <c r="V154" s="4"/>
      <c r="W154" s="4"/>
    </row>
    <row r="155" spans="1:23" x14ac:dyDescent="0.2">
      <c r="A155" s="4">
        <v>50</v>
      </c>
      <c r="B155" s="4">
        <v>0</v>
      </c>
      <c r="C155" s="4">
        <v>0</v>
      </c>
      <c r="D155" s="4">
        <v>1</v>
      </c>
      <c r="E155" s="4">
        <v>208</v>
      </c>
      <c r="F155" s="4">
        <f>Source!V132</f>
        <v>22.416739199999999</v>
      </c>
      <c r="G155" s="4" t="s">
        <v>205</v>
      </c>
      <c r="H155" s="4" t="s">
        <v>206</v>
      </c>
      <c r="I155" s="4"/>
      <c r="J155" s="4"/>
      <c r="K155" s="4">
        <v>208</v>
      </c>
      <c r="L155" s="4">
        <v>22</v>
      </c>
      <c r="M155" s="4">
        <v>3</v>
      </c>
      <c r="N155" s="4" t="s">
        <v>3</v>
      </c>
      <c r="O155" s="4">
        <v>-1</v>
      </c>
      <c r="P155" s="4"/>
      <c r="Q155" s="4"/>
      <c r="R155" s="4"/>
      <c r="S155" s="4"/>
      <c r="T155" s="4"/>
      <c r="U155" s="4"/>
      <c r="V155" s="4"/>
      <c r="W155" s="4"/>
    </row>
    <row r="156" spans="1:23" x14ac:dyDescent="0.2">
      <c r="A156" s="4">
        <v>50</v>
      </c>
      <c r="B156" s="4">
        <v>0</v>
      </c>
      <c r="C156" s="4">
        <v>0</v>
      </c>
      <c r="D156" s="4">
        <v>1</v>
      </c>
      <c r="E156" s="4">
        <v>209</v>
      </c>
      <c r="F156" s="4">
        <f>ROUND(Source!W132,O156)</f>
        <v>0</v>
      </c>
      <c r="G156" s="4" t="s">
        <v>207</v>
      </c>
      <c r="H156" s="4" t="s">
        <v>208</v>
      </c>
      <c r="I156" s="4"/>
      <c r="J156" s="4"/>
      <c r="K156" s="4">
        <v>209</v>
      </c>
      <c r="L156" s="4">
        <v>23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/>
    </row>
    <row r="157" spans="1:23" x14ac:dyDescent="0.2">
      <c r="A157" s="4">
        <v>50</v>
      </c>
      <c r="B157" s="4">
        <v>0</v>
      </c>
      <c r="C157" s="4">
        <v>0</v>
      </c>
      <c r="D157" s="4">
        <v>1</v>
      </c>
      <c r="E157" s="4">
        <v>210</v>
      </c>
      <c r="F157" s="4">
        <f>ROUND(Source!X132,O157)</f>
        <v>37136.699999999997</v>
      </c>
      <c r="G157" s="4" t="s">
        <v>209</v>
      </c>
      <c r="H157" s="4" t="s">
        <v>210</v>
      </c>
      <c r="I157" s="4"/>
      <c r="J157" s="4"/>
      <c r="K157" s="4">
        <v>210</v>
      </c>
      <c r="L157" s="4">
        <v>24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/>
    </row>
    <row r="158" spans="1:23" x14ac:dyDescent="0.2">
      <c r="A158" s="4">
        <v>50</v>
      </c>
      <c r="B158" s="4">
        <v>0</v>
      </c>
      <c r="C158" s="4">
        <v>0</v>
      </c>
      <c r="D158" s="4">
        <v>1</v>
      </c>
      <c r="E158" s="4">
        <v>211</v>
      </c>
      <c r="F158" s="4">
        <f>ROUND(Source!Y132,O158)</f>
        <v>23436.21</v>
      </c>
      <c r="G158" s="4" t="s">
        <v>211</v>
      </c>
      <c r="H158" s="4" t="s">
        <v>212</v>
      </c>
      <c r="I158" s="4"/>
      <c r="J158" s="4"/>
      <c r="K158" s="4">
        <v>211</v>
      </c>
      <c r="L158" s="4">
        <v>25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/>
    </row>
    <row r="159" spans="1:23" x14ac:dyDescent="0.2">
      <c r="A159" s="4">
        <v>50</v>
      </c>
      <c r="B159" s="4">
        <v>0</v>
      </c>
      <c r="C159" s="4">
        <v>0</v>
      </c>
      <c r="D159" s="4">
        <v>1</v>
      </c>
      <c r="E159" s="4">
        <v>224</v>
      </c>
      <c r="F159" s="4">
        <f>ROUND(Source!AR132,O159)</f>
        <v>437787.11</v>
      </c>
      <c r="G159" s="4" t="s">
        <v>213</v>
      </c>
      <c r="H159" s="4" t="s">
        <v>214</v>
      </c>
      <c r="I159" s="4"/>
      <c r="J159" s="4"/>
      <c r="K159" s="4">
        <v>224</v>
      </c>
      <c r="L159" s="4">
        <v>26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/>
    </row>
    <row r="160" spans="1:23" x14ac:dyDescent="0.2">
      <c r="A160" s="4">
        <v>50</v>
      </c>
      <c r="B160" s="4">
        <v>1</v>
      </c>
      <c r="C160" s="4">
        <v>0</v>
      </c>
      <c r="D160" s="4">
        <v>2</v>
      </c>
      <c r="E160" s="4">
        <v>0</v>
      </c>
      <c r="F160" s="4">
        <f>ROUND(F159-F139,O160)</f>
        <v>283201.61</v>
      </c>
      <c r="G160" s="4" t="s">
        <v>215</v>
      </c>
      <c r="H160" s="4" t="s">
        <v>263</v>
      </c>
      <c r="I160" s="4"/>
      <c r="J160" s="4"/>
      <c r="K160" s="4">
        <v>212</v>
      </c>
      <c r="L160" s="4">
        <v>27</v>
      </c>
      <c r="M160" s="4">
        <v>0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/>
    </row>
    <row r="162" spans="1:245" x14ac:dyDescent="0.2">
      <c r="A162" s="1">
        <v>3</v>
      </c>
      <c r="B162" s="1">
        <v>1</v>
      </c>
      <c r="C162" s="1"/>
      <c r="D162" s="1">
        <f>ROW(A169)</f>
        <v>169</v>
      </c>
      <c r="E162" s="1"/>
      <c r="F162" s="1" t="s">
        <v>90</v>
      </c>
      <c r="G162" s="1" t="s">
        <v>264</v>
      </c>
      <c r="H162" s="1" t="s">
        <v>3</v>
      </c>
      <c r="I162" s="1">
        <v>0</v>
      </c>
      <c r="J162" s="1" t="s">
        <v>17</v>
      </c>
      <c r="K162" s="1">
        <v>-1</v>
      </c>
      <c r="L162" s="1" t="s">
        <v>90</v>
      </c>
      <c r="M162" s="1"/>
      <c r="N162" s="1"/>
      <c r="O162" s="1"/>
      <c r="P162" s="1"/>
      <c r="Q162" s="1"/>
      <c r="R162" s="1"/>
      <c r="S162" s="1"/>
      <c r="T162" s="1"/>
      <c r="U162" s="1" t="s">
        <v>3</v>
      </c>
      <c r="V162" s="1">
        <v>0</v>
      </c>
      <c r="W162" s="1"/>
      <c r="X162" s="1"/>
      <c r="Y162" s="1"/>
      <c r="Z162" s="1"/>
      <c r="AA162" s="1"/>
      <c r="AB162" s="1" t="s">
        <v>3</v>
      </c>
      <c r="AC162" s="1" t="s">
        <v>3</v>
      </c>
      <c r="AD162" s="1" t="s">
        <v>3</v>
      </c>
      <c r="AE162" s="1" t="s">
        <v>3</v>
      </c>
      <c r="AF162" s="1" t="s">
        <v>3</v>
      </c>
      <c r="AG162" s="1" t="s">
        <v>3</v>
      </c>
      <c r="AH162" s="1"/>
      <c r="AI162" s="1"/>
      <c r="AJ162" s="1"/>
      <c r="AK162" s="1"/>
      <c r="AL162" s="1"/>
      <c r="AM162" s="1"/>
      <c r="AN162" s="1"/>
      <c r="AO162" s="1"/>
      <c r="AP162" s="1" t="s">
        <v>3</v>
      </c>
      <c r="AQ162" s="1" t="s">
        <v>3</v>
      </c>
      <c r="AR162" s="1" t="s">
        <v>3</v>
      </c>
      <c r="AS162" s="1"/>
      <c r="AT162" s="1"/>
      <c r="AU162" s="1"/>
      <c r="AV162" s="1"/>
      <c r="AW162" s="1"/>
      <c r="AX162" s="1"/>
      <c r="AY162" s="1"/>
      <c r="AZ162" s="1" t="s">
        <v>3</v>
      </c>
      <c r="BA162" s="1"/>
      <c r="BB162" s="1" t="s">
        <v>3</v>
      </c>
      <c r="BC162" s="1" t="s">
        <v>3</v>
      </c>
      <c r="BD162" s="1" t="s">
        <v>3</v>
      </c>
      <c r="BE162" s="1" t="s">
        <v>3</v>
      </c>
      <c r="BF162" s="1" t="s">
        <v>3</v>
      </c>
      <c r="BG162" s="1" t="s">
        <v>3</v>
      </c>
      <c r="BH162" s="1" t="s">
        <v>3</v>
      </c>
      <c r="BI162" s="1" t="s">
        <v>3</v>
      </c>
      <c r="BJ162" s="1" t="s">
        <v>3</v>
      </c>
      <c r="BK162" s="1" t="s">
        <v>3</v>
      </c>
      <c r="BL162" s="1" t="s">
        <v>3</v>
      </c>
      <c r="BM162" s="1" t="s">
        <v>3</v>
      </c>
      <c r="BN162" s="1" t="s">
        <v>3</v>
      </c>
      <c r="BO162" s="1" t="s">
        <v>3</v>
      </c>
      <c r="BP162" s="1" t="s">
        <v>3</v>
      </c>
      <c r="BQ162" s="1"/>
      <c r="BR162" s="1"/>
      <c r="BS162" s="1"/>
      <c r="BT162" s="1"/>
      <c r="BU162" s="1"/>
      <c r="BV162" s="1"/>
      <c r="BW162" s="1"/>
      <c r="BX162" s="1">
        <v>0</v>
      </c>
      <c r="BY162" s="1"/>
      <c r="BZ162" s="1"/>
      <c r="CA162" s="1"/>
      <c r="CB162" s="1"/>
      <c r="CC162" s="1"/>
      <c r="CD162" s="1"/>
      <c r="CE162" s="1"/>
      <c r="CF162" s="1">
        <v>0</v>
      </c>
      <c r="CG162" s="1">
        <v>0</v>
      </c>
      <c r="CH162" s="1"/>
      <c r="CI162" s="1" t="s">
        <v>3</v>
      </c>
      <c r="CJ162" s="1" t="s">
        <v>3</v>
      </c>
    </row>
    <row r="164" spans="1:245" x14ac:dyDescent="0.2">
      <c r="A164" s="2">
        <v>52</v>
      </c>
      <c r="B164" s="2">
        <f t="shared" ref="B164:G164" si="79">B169</f>
        <v>1</v>
      </c>
      <c r="C164" s="2">
        <f t="shared" si="79"/>
        <v>3</v>
      </c>
      <c r="D164" s="2">
        <f t="shared" si="79"/>
        <v>162</v>
      </c>
      <c r="E164" s="2">
        <f t="shared" si="79"/>
        <v>0</v>
      </c>
      <c r="F164" s="2" t="str">
        <f t="shared" si="79"/>
        <v>10</v>
      </c>
      <c r="G164" s="2">
        <f t="shared" si="79"/>
        <v>0</v>
      </c>
      <c r="H164" s="2"/>
      <c r="I164" s="2"/>
      <c r="J164" s="2"/>
      <c r="K164" s="2"/>
      <c r="L164" s="2"/>
      <c r="M164" s="2"/>
      <c r="N164" s="2"/>
      <c r="O164" s="2">
        <f t="shared" ref="O164:AT164" si="80">O169</f>
        <v>1467.14</v>
      </c>
      <c r="P164" s="2">
        <f t="shared" si="80"/>
        <v>0</v>
      </c>
      <c r="Q164" s="2">
        <f t="shared" si="80"/>
        <v>0</v>
      </c>
      <c r="R164" s="2">
        <f t="shared" si="80"/>
        <v>0</v>
      </c>
      <c r="S164" s="2">
        <f t="shared" si="80"/>
        <v>1467.14</v>
      </c>
      <c r="T164" s="2">
        <f t="shared" si="80"/>
        <v>0</v>
      </c>
      <c r="U164" s="2">
        <f t="shared" si="80"/>
        <v>4.4351999999999991</v>
      </c>
      <c r="V164" s="2">
        <f t="shared" si="80"/>
        <v>0</v>
      </c>
      <c r="W164" s="2">
        <f t="shared" si="80"/>
        <v>0</v>
      </c>
      <c r="X164" s="2">
        <f t="shared" si="80"/>
        <v>806.93</v>
      </c>
      <c r="Y164" s="2">
        <f t="shared" si="80"/>
        <v>469.49</v>
      </c>
      <c r="Z164" s="2">
        <f t="shared" si="80"/>
        <v>0</v>
      </c>
      <c r="AA164" s="2">
        <f t="shared" si="80"/>
        <v>0</v>
      </c>
      <c r="AB164" s="2">
        <f t="shared" si="80"/>
        <v>1467.14</v>
      </c>
      <c r="AC164" s="2">
        <f t="shared" si="80"/>
        <v>0</v>
      </c>
      <c r="AD164" s="2">
        <f t="shared" si="80"/>
        <v>0</v>
      </c>
      <c r="AE164" s="2">
        <f t="shared" si="80"/>
        <v>0</v>
      </c>
      <c r="AF164" s="2">
        <f t="shared" si="80"/>
        <v>1467.14</v>
      </c>
      <c r="AG164" s="2">
        <f t="shared" si="80"/>
        <v>0</v>
      </c>
      <c r="AH164" s="2">
        <f t="shared" si="80"/>
        <v>4.4351999999999991</v>
      </c>
      <c r="AI164" s="2">
        <f t="shared" si="80"/>
        <v>0</v>
      </c>
      <c r="AJ164" s="2">
        <f t="shared" si="80"/>
        <v>0</v>
      </c>
      <c r="AK164" s="2">
        <f t="shared" si="80"/>
        <v>806.93</v>
      </c>
      <c r="AL164" s="2">
        <f t="shared" si="80"/>
        <v>469.49</v>
      </c>
      <c r="AM164" s="2">
        <f t="shared" si="80"/>
        <v>0</v>
      </c>
      <c r="AN164" s="2">
        <f t="shared" si="80"/>
        <v>0</v>
      </c>
      <c r="AO164" s="2">
        <f t="shared" si="80"/>
        <v>0</v>
      </c>
      <c r="AP164" s="2">
        <f t="shared" si="80"/>
        <v>0</v>
      </c>
      <c r="AQ164" s="2">
        <f t="shared" si="80"/>
        <v>0</v>
      </c>
      <c r="AR164" s="2">
        <f t="shared" si="80"/>
        <v>2743.56</v>
      </c>
      <c r="AS164" s="2">
        <f t="shared" si="80"/>
        <v>0</v>
      </c>
      <c r="AT164" s="2">
        <f t="shared" si="80"/>
        <v>0</v>
      </c>
      <c r="AU164" s="2">
        <f t="shared" ref="AU164:BZ164" si="81">AU169</f>
        <v>2743.56</v>
      </c>
      <c r="AV164" s="2">
        <f t="shared" si="81"/>
        <v>0</v>
      </c>
      <c r="AW164" s="2">
        <f t="shared" si="81"/>
        <v>0</v>
      </c>
      <c r="AX164" s="2">
        <f t="shared" si="81"/>
        <v>0</v>
      </c>
      <c r="AY164" s="2">
        <f t="shared" si="81"/>
        <v>0</v>
      </c>
      <c r="AZ164" s="2">
        <f t="shared" si="81"/>
        <v>0</v>
      </c>
      <c r="BA164" s="2">
        <f t="shared" si="81"/>
        <v>0</v>
      </c>
      <c r="BB164" s="2">
        <f t="shared" si="81"/>
        <v>0</v>
      </c>
      <c r="BC164" s="2">
        <f t="shared" si="81"/>
        <v>0</v>
      </c>
      <c r="BD164" s="2">
        <f t="shared" si="81"/>
        <v>0</v>
      </c>
      <c r="BE164" s="2">
        <f t="shared" si="81"/>
        <v>0</v>
      </c>
      <c r="BF164" s="2">
        <f t="shared" si="81"/>
        <v>0</v>
      </c>
      <c r="BG164" s="2">
        <f t="shared" si="81"/>
        <v>0</v>
      </c>
      <c r="BH164" s="2">
        <f t="shared" si="81"/>
        <v>0</v>
      </c>
      <c r="BI164" s="2">
        <f t="shared" si="81"/>
        <v>0</v>
      </c>
      <c r="BJ164" s="2">
        <f t="shared" si="81"/>
        <v>0</v>
      </c>
      <c r="BK164" s="2">
        <f t="shared" si="81"/>
        <v>0</v>
      </c>
      <c r="BL164" s="2">
        <f t="shared" si="81"/>
        <v>0</v>
      </c>
      <c r="BM164" s="2">
        <f t="shared" si="81"/>
        <v>0</v>
      </c>
      <c r="BN164" s="2">
        <f t="shared" si="81"/>
        <v>0</v>
      </c>
      <c r="BO164" s="2">
        <f t="shared" si="81"/>
        <v>0</v>
      </c>
      <c r="BP164" s="2">
        <f t="shared" si="81"/>
        <v>0</v>
      </c>
      <c r="BQ164" s="2">
        <f t="shared" si="81"/>
        <v>0</v>
      </c>
      <c r="BR164" s="2">
        <f t="shared" si="81"/>
        <v>0</v>
      </c>
      <c r="BS164" s="2">
        <f t="shared" si="81"/>
        <v>0</v>
      </c>
      <c r="BT164" s="2">
        <f t="shared" si="81"/>
        <v>0</v>
      </c>
      <c r="BU164" s="2">
        <f t="shared" si="81"/>
        <v>0</v>
      </c>
      <c r="BV164" s="2">
        <f t="shared" si="81"/>
        <v>0</v>
      </c>
      <c r="BW164" s="2">
        <f t="shared" si="81"/>
        <v>0</v>
      </c>
      <c r="BX164" s="2">
        <f t="shared" si="81"/>
        <v>0</v>
      </c>
      <c r="BY164" s="2">
        <f t="shared" si="81"/>
        <v>0</v>
      </c>
      <c r="BZ164" s="2">
        <f t="shared" si="81"/>
        <v>0</v>
      </c>
      <c r="CA164" s="2">
        <f t="shared" ref="CA164:DF164" si="82">CA169</f>
        <v>2743.56</v>
      </c>
      <c r="CB164" s="2">
        <f t="shared" si="82"/>
        <v>0</v>
      </c>
      <c r="CC164" s="2">
        <f t="shared" si="82"/>
        <v>0</v>
      </c>
      <c r="CD164" s="2">
        <f t="shared" si="82"/>
        <v>2743.56</v>
      </c>
      <c r="CE164" s="2">
        <f t="shared" si="82"/>
        <v>0</v>
      </c>
      <c r="CF164" s="2">
        <f t="shared" si="82"/>
        <v>0</v>
      </c>
      <c r="CG164" s="2">
        <f t="shared" si="82"/>
        <v>0</v>
      </c>
      <c r="CH164" s="2">
        <f t="shared" si="82"/>
        <v>0</v>
      </c>
      <c r="CI164" s="2">
        <f t="shared" si="82"/>
        <v>0</v>
      </c>
      <c r="CJ164" s="2">
        <f t="shared" si="82"/>
        <v>0</v>
      </c>
      <c r="CK164" s="2">
        <f t="shared" si="82"/>
        <v>0</v>
      </c>
      <c r="CL164" s="2">
        <f t="shared" si="82"/>
        <v>0</v>
      </c>
      <c r="CM164" s="2">
        <f t="shared" si="82"/>
        <v>0</v>
      </c>
      <c r="CN164" s="2">
        <f t="shared" si="82"/>
        <v>0</v>
      </c>
      <c r="CO164" s="2">
        <f t="shared" si="82"/>
        <v>0</v>
      </c>
      <c r="CP164" s="2">
        <f t="shared" si="82"/>
        <v>0</v>
      </c>
      <c r="CQ164" s="2">
        <f t="shared" si="82"/>
        <v>0</v>
      </c>
      <c r="CR164" s="2">
        <f t="shared" si="82"/>
        <v>0</v>
      </c>
      <c r="CS164" s="2">
        <f t="shared" si="82"/>
        <v>0</v>
      </c>
      <c r="CT164" s="2">
        <f t="shared" si="82"/>
        <v>0</v>
      </c>
      <c r="CU164" s="2">
        <f t="shared" si="82"/>
        <v>0</v>
      </c>
      <c r="CV164" s="2">
        <f t="shared" si="82"/>
        <v>0</v>
      </c>
      <c r="CW164" s="2">
        <f t="shared" si="82"/>
        <v>0</v>
      </c>
      <c r="CX164" s="2">
        <f t="shared" si="82"/>
        <v>0</v>
      </c>
      <c r="CY164" s="2">
        <f t="shared" si="82"/>
        <v>0</v>
      </c>
      <c r="CZ164" s="2">
        <f t="shared" si="82"/>
        <v>0</v>
      </c>
      <c r="DA164" s="2">
        <f t="shared" si="82"/>
        <v>0</v>
      </c>
      <c r="DB164" s="2">
        <f t="shared" si="82"/>
        <v>0</v>
      </c>
      <c r="DC164" s="2">
        <f t="shared" si="82"/>
        <v>0</v>
      </c>
      <c r="DD164" s="2">
        <f t="shared" si="82"/>
        <v>0</v>
      </c>
      <c r="DE164" s="2">
        <f t="shared" si="82"/>
        <v>0</v>
      </c>
      <c r="DF164" s="2">
        <f t="shared" si="82"/>
        <v>0</v>
      </c>
      <c r="DG164" s="3">
        <f t="shared" ref="DG164:EL164" si="83">DG169</f>
        <v>0</v>
      </c>
      <c r="DH164" s="3">
        <f t="shared" si="83"/>
        <v>0</v>
      </c>
      <c r="DI164" s="3">
        <f t="shared" si="83"/>
        <v>0</v>
      </c>
      <c r="DJ164" s="3">
        <f t="shared" si="83"/>
        <v>0</v>
      </c>
      <c r="DK164" s="3">
        <f t="shared" si="83"/>
        <v>0</v>
      </c>
      <c r="DL164" s="3">
        <f t="shared" si="83"/>
        <v>0</v>
      </c>
      <c r="DM164" s="3">
        <f t="shared" si="83"/>
        <v>0</v>
      </c>
      <c r="DN164" s="3">
        <f t="shared" si="83"/>
        <v>0</v>
      </c>
      <c r="DO164" s="3">
        <f t="shared" si="83"/>
        <v>0</v>
      </c>
      <c r="DP164" s="3">
        <f t="shared" si="83"/>
        <v>0</v>
      </c>
      <c r="DQ164" s="3">
        <f t="shared" si="83"/>
        <v>0</v>
      </c>
      <c r="DR164" s="3">
        <f t="shared" si="83"/>
        <v>0</v>
      </c>
      <c r="DS164" s="3">
        <f t="shared" si="83"/>
        <v>0</v>
      </c>
      <c r="DT164" s="3">
        <f t="shared" si="83"/>
        <v>0</v>
      </c>
      <c r="DU164" s="3">
        <f t="shared" si="83"/>
        <v>0</v>
      </c>
      <c r="DV164" s="3">
        <f t="shared" si="83"/>
        <v>0</v>
      </c>
      <c r="DW164" s="3">
        <f t="shared" si="83"/>
        <v>0</v>
      </c>
      <c r="DX164" s="3">
        <f t="shared" si="83"/>
        <v>0</v>
      </c>
      <c r="DY164" s="3">
        <f t="shared" si="83"/>
        <v>0</v>
      </c>
      <c r="DZ164" s="3">
        <f t="shared" si="83"/>
        <v>0</v>
      </c>
      <c r="EA164" s="3">
        <f t="shared" si="83"/>
        <v>0</v>
      </c>
      <c r="EB164" s="3">
        <f t="shared" si="83"/>
        <v>0</v>
      </c>
      <c r="EC164" s="3">
        <f t="shared" si="83"/>
        <v>0</v>
      </c>
      <c r="ED164" s="3">
        <f t="shared" si="83"/>
        <v>0</v>
      </c>
      <c r="EE164" s="3">
        <f t="shared" si="83"/>
        <v>0</v>
      </c>
      <c r="EF164" s="3">
        <f t="shared" si="83"/>
        <v>0</v>
      </c>
      <c r="EG164" s="3">
        <f t="shared" si="83"/>
        <v>0</v>
      </c>
      <c r="EH164" s="3">
        <f t="shared" si="83"/>
        <v>0</v>
      </c>
      <c r="EI164" s="3">
        <f t="shared" si="83"/>
        <v>0</v>
      </c>
      <c r="EJ164" s="3">
        <f t="shared" si="83"/>
        <v>0</v>
      </c>
      <c r="EK164" s="3">
        <f t="shared" si="83"/>
        <v>0</v>
      </c>
      <c r="EL164" s="3">
        <f t="shared" si="83"/>
        <v>0</v>
      </c>
      <c r="EM164" s="3">
        <f t="shared" ref="EM164:FR164" si="84">EM169</f>
        <v>0</v>
      </c>
      <c r="EN164" s="3">
        <f t="shared" si="84"/>
        <v>0</v>
      </c>
      <c r="EO164" s="3">
        <f t="shared" si="84"/>
        <v>0</v>
      </c>
      <c r="EP164" s="3">
        <f t="shared" si="84"/>
        <v>0</v>
      </c>
      <c r="EQ164" s="3">
        <f t="shared" si="84"/>
        <v>0</v>
      </c>
      <c r="ER164" s="3">
        <f t="shared" si="84"/>
        <v>0</v>
      </c>
      <c r="ES164" s="3">
        <f t="shared" si="84"/>
        <v>0</v>
      </c>
      <c r="ET164" s="3">
        <f t="shared" si="84"/>
        <v>0</v>
      </c>
      <c r="EU164" s="3">
        <f t="shared" si="84"/>
        <v>0</v>
      </c>
      <c r="EV164" s="3">
        <f t="shared" si="84"/>
        <v>0</v>
      </c>
      <c r="EW164" s="3">
        <f t="shared" si="84"/>
        <v>0</v>
      </c>
      <c r="EX164" s="3">
        <f t="shared" si="84"/>
        <v>0</v>
      </c>
      <c r="EY164" s="3">
        <f t="shared" si="84"/>
        <v>0</v>
      </c>
      <c r="EZ164" s="3">
        <f t="shared" si="84"/>
        <v>0</v>
      </c>
      <c r="FA164" s="3">
        <f t="shared" si="84"/>
        <v>0</v>
      </c>
      <c r="FB164" s="3">
        <f t="shared" si="84"/>
        <v>0</v>
      </c>
      <c r="FC164" s="3">
        <f t="shared" si="84"/>
        <v>0</v>
      </c>
      <c r="FD164" s="3">
        <f t="shared" si="84"/>
        <v>0</v>
      </c>
      <c r="FE164" s="3">
        <f t="shared" si="84"/>
        <v>0</v>
      </c>
      <c r="FF164" s="3">
        <f t="shared" si="84"/>
        <v>0</v>
      </c>
      <c r="FG164" s="3">
        <f t="shared" si="84"/>
        <v>0</v>
      </c>
      <c r="FH164" s="3">
        <f t="shared" si="84"/>
        <v>0</v>
      </c>
      <c r="FI164" s="3">
        <f t="shared" si="84"/>
        <v>0</v>
      </c>
      <c r="FJ164" s="3">
        <f t="shared" si="84"/>
        <v>0</v>
      </c>
      <c r="FK164" s="3">
        <f t="shared" si="84"/>
        <v>0</v>
      </c>
      <c r="FL164" s="3">
        <f t="shared" si="84"/>
        <v>0</v>
      </c>
      <c r="FM164" s="3">
        <f t="shared" si="84"/>
        <v>0</v>
      </c>
      <c r="FN164" s="3">
        <f t="shared" si="84"/>
        <v>0</v>
      </c>
      <c r="FO164" s="3">
        <f t="shared" si="84"/>
        <v>0</v>
      </c>
      <c r="FP164" s="3">
        <f t="shared" si="84"/>
        <v>0</v>
      </c>
      <c r="FQ164" s="3">
        <f t="shared" si="84"/>
        <v>0</v>
      </c>
      <c r="FR164" s="3">
        <f t="shared" si="84"/>
        <v>0</v>
      </c>
      <c r="FS164" s="3">
        <f t="shared" ref="FS164:GX164" si="85">FS169</f>
        <v>0</v>
      </c>
      <c r="FT164" s="3">
        <f t="shared" si="85"/>
        <v>0</v>
      </c>
      <c r="FU164" s="3">
        <f t="shared" si="85"/>
        <v>0</v>
      </c>
      <c r="FV164" s="3">
        <f t="shared" si="85"/>
        <v>0</v>
      </c>
      <c r="FW164" s="3">
        <f t="shared" si="85"/>
        <v>0</v>
      </c>
      <c r="FX164" s="3">
        <f t="shared" si="85"/>
        <v>0</v>
      </c>
      <c r="FY164" s="3">
        <f t="shared" si="85"/>
        <v>0</v>
      </c>
      <c r="FZ164" s="3">
        <f t="shared" si="85"/>
        <v>0</v>
      </c>
      <c r="GA164" s="3">
        <f t="shared" si="85"/>
        <v>0</v>
      </c>
      <c r="GB164" s="3">
        <f t="shared" si="85"/>
        <v>0</v>
      </c>
      <c r="GC164" s="3">
        <f t="shared" si="85"/>
        <v>0</v>
      </c>
      <c r="GD164" s="3">
        <f t="shared" si="85"/>
        <v>0</v>
      </c>
      <c r="GE164" s="3">
        <f t="shared" si="85"/>
        <v>0</v>
      </c>
      <c r="GF164" s="3">
        <f t="shared" si="85"/>
        <v>0</v>
      </c>
      <c r="GG164" s="3">
        <f t="shared" si="85"/>
        <v>0</v>
      </c>
      <c r="GH164" s="3">
        <f t="shared" si="85"/>
        <v>0</v>
      </c>
      <c r="GI164" s="3">
        <f t="shared" si="85"/>
        <v>0</v>
      </c>
      <c r="GJ164" s="3">
        <f t="shared" si="85"/>
        <v>0</v>
      </c>
      <c r="GK164" s="3">
        <f t="shared" si="85"/>
        <v>0</v>
      </c>
      <c r="GL164" s="3">
        <f t="shared" si="85"/>
        <v>0</v>
      </c>
      <c r="GM164" s="3">
        <f t="shared" si="85"/>
        <v>0</v>
      </c>
      <c r="GN164" s="3">
        <f t="shared" si="85"/>
        <v>0</v>
      </c>
      <c r="GO164" s="3">
        <f t="shared" si="85"/>
        <v>0</v>
      </c>
      <c r="GP164" s="3">
        <f t="shared" si="85"/>
        <v>0</v>
      </c>
      <c r="GQ164" s="3">
        <f t="shared" si="85"/>
        <v>0</v>
      </c>
      <c r="GR164" s="3">
        <f t="shared" si="85"/>
        <v>0</v>
      </c>
      <c r="GS164" s="3">
        <f t="shared" si="85"/>
        <v>0</v>
      </c>
      <c r="GT164" s="3">
        <f t="shared" si="85"/>
        <v>0</v>
      </c>
      <c r="GU164" s="3">
        <f t="shared" si="85"/>
        <v>0</v>
      </c>
      <c r="GV164" s="3">
        <f t="shared" si="85"/>
        <v>0</v>
      </c>
      <c r="GW164" s="3">
        <f t="shared" si="85"/>
        <v>0</v>
      </c>
      <c r="GX164" s="3">
        <f t="shared" si="85"/>
        <v>0</v>
      </c>
    </row>
    <row r="166" spans="1:245" x14ac:dyDescent="0.2">
      <c r="A166">
        <v>17</v>
      </c>
      <c r="B166">
        <v>1</v>
      </c>
      <c r="C166">
        <f>ROW(SmtRes!A106)</f>
        <v>106</v>
      </c>
      <c r="D166">
        <f>ROW(EtalonRes!A106)</f>
        <v>106</v>
      </c>
      <c r="E166" t="s">
        <v>20</v>
      </c>
      <c r="F166" t="s">
        <v>265</v>
      </c>
      <c r="G166" t="s">
        <v>266</v>
      </c>
      <c r="H166" t="s">
        <v>112</v>
      </c>
      <c r="I166">
        <v>4</v>
      </c>
      <c r="J166">
        <v>0</v>
      </c>
      <c r="O166">
        <f>ROUND(CP166,2)</f>
        <v>1301.83</v>
      </c>
      <c r="P166">
        <f>ROUND(CQ166*I166,2)</f>
        <v>0</v>
      </c>
      <c r="Q166">
        <f>ROUND(CR166*I166,2)</f>
        <v>0</v>
      </c>
      <c r="R166">
        <f>ROUND(CS166*I166,2)</f>
        <v>0</v>
      </c>
      <c r="S166">
        <f>ROUND(CT166*I166,2)</f>
        <v>1301.83</v>
      </c>
      <c r="T166">
        <f>ROUND(CU166*I166,2)</f>
        <v>0</v>
      </c>
      <c r="U166">
        <f>CV166*I166</f>
        <v>3.9359999999999995</v>
      </c>
      <c r="V166">
        <f>CW166*I166</f>
        <v>0</v>
      </c>
      <c r="W166">
        <f>ROUND(CX166*I166,2)</f>
        <v>0</v>
      </c>
      <c r="X166">
        <f>ROUND(CY166,2)</f>
        <v>716.01</v>
      </c>
      <c r="Y166">
        <f>ROUND(CZ166,2)</f>
        <v>416.59</v>
      </c>
      <c r="AA166">
        <v>35891596</v>
      </c>
      <c r="AB166">
        <f>ROUND((AC166+AD166+AF166),2)</f>
        <v>12.6</v>
      </c>
      <c r="AC166">
        <f>ROUND((ES166),2)</f>
        <v>0</v>
      </c>
      <c r="AD166">
        <f>ROUND((((ET166)-(EU166))+AE166),2)</f>
        <v>0</v>
      </c>
      <c r="AE166">
        <f>ROUND((EU166),2)</f>
        <v>0</v>
      </c>
      <c r="AF166">
        <f>ROUND(((EV166*1.2)),2)</f>
        <v>12.6</v>
      </c>
      <c r="AG166">
        <f>ROUND((AP166),2)</f>
        <v>0</v>
      </c>
      <c r="AH166">
        <f>((EW166*1.2))</f>
        <v>0.98399999999999987</v>
      </c>
      <c r="AI166">
        <f>(EX166)</f>
        <v>0</v>
      </c>
      <c r="AJ166">
        <f>ROUND((AS166),2)</f>
        <v>0</v>
      </c>
      <c r="AK166">
        <v>10.5</v>
      </c>
      <c r="AL166">
        <v>0</v>
      </c>
      <c r="AM166">
        <v>0</v>
      </c>
      <c r="AN166">
        <v>0</v>
      </c>
      <c r="AO166">
        <v>10.5</v>
      </c>
      <c r="AP166">
        <v>0</v>
      </c>
      <c r="AQ166">
        <v>0.82</v>
      </c>
      <c r="AR166">
        <v>0</v>
      </c>
      <c r="AS166">
        <v>0</v>
      </c>
      <c r="AT166">
        <v>55</v>
      </c>
      <c r="AU166">
        <v>32</v>
      </c>
      <c r="AV166">
        <v>1</v>
      </c>
      <c r="AW166">
        <v>1</v>
      </c>
      <c r="AZ166">
        <v>1</v>
      </c>
      <c r="BA166">
        <v>25.83</v>
      </c>
      <c r="BB166">
        <v>1</v>
      </c>
      <c r="BC166">
        <v>1</v>
      </c>
      <c r="BD166" t="s">
        <v>3</v>
      </c>
      <c r="BE166" t="s">
        <v>3</v>
      </c>
      <c r="BF166" t="s">
        <v>3</v>
      </c>
      <c r="BG166" t="s">
        <v>3</v>
      </c>
      <c r="BH166">
        <v>0</v>
      </c>
      <c r="BI166">
        <v>4</v>
      </c>
      <c r="BJ166" t="s">
        <v>267</v>
      </c>
      <c r="BM166">
        <v>200001</v>
      </c>
      <c r="BN166">
        <v>0</v>
      </c>
      <c r="BO166" t="s">
        <v>3</v>
      </c>
      <c r="BP166">
        <v>0</v>
      </c>
      <c r="BQ166">
        <v>4</v>
      </c>
      <c r="BR166">
        <v>0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65</v>
      </c>
      <c r="CA166">
        <v>40</v>
      </c>
      <c r="CF166">
        <v>0</v>
      </c>
      <c r="CG166">
        <v>0</v>
      </c>
      <c r="CM166">
        <v>0</v>
      </c>
      <c r="CN166" t="s">
        <v>475</v>
      </c>
      <c r="CO166">
        <v>0</v>
      </c>
      <c r="CP166">
        <f>(P166+Q166+S166)</f>
        <v>1301.83</v>
      </c>
      <c r="CQ166">
        <f>AC166*BC166</f>
        <v>0</v>
      </c>
      <c r="CR166">
        <f>AD166*BB166</f>
        <v>0</v>
      </c>
      <c r="CS166">
        <f>AE166*BS166</f>
        <v>0</v>
      </c>
      <c r="CT166">
        <f>AF166*BA166</f>
        <v>325.45799999999997</v>
      </c>
      <c r="CU166">
        <f t="shared" ref="CU166:CX167" si="86">AG166</f>
        <v>0</v>
      </c>
      <c r="CV166">
        <f t="shared" si="86"/>
        <v>0.98399999999999987</v>
      </c>
      <c r="CW166">
        <f t="shared" si="86"/>
        <v>0</v>
      </c>
      <c r="CX166">
        <f t="shared" si="86"/>
        <v>0</v>
      </c>
      <c r="CY166">
        <f>(((S166+R166)*AT166)/100)</f>
        <v>716.00649999999996</v>
      </c>
      <c r="CZ166">
        <f>(((S166+R166)*AU166)/100)</f>
        <v>416.5856</v>
      </c>
      <c r="DC166" t="s">
        <v>3</v>
      </c>
      <c r="DD166" t="s">
        <v>3</v>
      </c>
      <c r="DE166" t="s">
        <v>3</v>
      </c>
      <c r="DF166" t="s">
        <v>3</v>
      </c>
      <c r="DG166" t="s">
        <v>40</v>
      </c>
      <c r="DH166" t="s">
        <v>3</v>
      </c>
      <c r="DI166" t="s">
        <v>40</v>
      </c>
      <c r="DJ166" t="s">
        <v>3</v>
      </c>
      <c r="DK166" t="s">
        <v>3</v>
      </c>
      <c r="DL166" t="s">
        <v>3</v>
      </c>
      <c r="DM166" t="s">
        <v>3</v>
      </c>
      <c r="DN166">
        <v>0</v>
      </c>
      <c r="DO166">
        <v>0</v>
      </c>
      <c r="DP166">
        <v>1</v>
      </c>
      <c r="DQ166">
        <v>1</v>
      </c>
      <c r="DU166">
        <v>1013</v>
      </c>
      <c r="DV166" t="s">
        <v>112</v>
      </c>
      <c r="DW166" t="s">
        <v>112</v>
      </c>
      <c r="DX166">
        <v>1</v>
      </c>
      <c r="EE166">
        <v>31266019</v>
      </c>
      <c r="EF166">
        <v>4</v>
      </c>
      <c r="EG166" t="s">
        <v>268</v>
      </c>
      <c r="EH166">
        <v>0</v>
      </c>
      <c r="EI166" t="s">
        <v>3</v>
      </c>
      <c r="EJ166">
        <v>4</v>
      </c>
      <c r="EK166">
        <v>200001</v>
      </c>
      <c r="EL166" t="s">
        <v>269</v>
      </c>
      <c r="EM166" t="s">
        <v>270</v>
      </c>
      <c r="EO166" t="s">
        <v>271</v>
      </c>
      <c r="EQ166">
        <v>512</v>
      </c>
      <c r="ER166">
        <v>10.5</v>
      </c>
      <c r="ES166">
        <v>0</v>
      </c>
      <c r="ET166">
        <v>0</v>
      </c>
      <c r="EU166">
        <v>0</v>
      </c>
      <c r="EV166">
        <v>10.5</v>
      </c>
      <c r="EW166">
        <v>0.82</v>
      </c>
      <c r="EX166">
        <v>0</v>
      </c>
      <c r="EY166">
        <v>0</v>
      </c>
      <c r="FQ166">
        <v>0</v>
      </c>
      <c r="FR166">
        <f>ROUND(IF(AND(BH166=3,BI166=3),P166,0),2)</f>
        <v>0</v>
      </c>
      <c r="FS166">
        <v>0</v>
      </c>
      <c r="FV166" t="s">
        <v>45</v>
      </c>
      <c r="FW166" t="s">
        <v>46</v>
      </c>
      <c r="FX166">
        <v>65</v>
      </c>
      <c r="FY166">
        <v>40</v>
      </c>
      <c r="GA166" t="s">
        <v>3</v>
      </c>
      <c r="GD166">
        <v>0</v>
      </c>
      <c r="GF166">
        <v>-1118003811</v>
      </c>
      <c r="GG166">
        <v>2</v>
      </c>
      <c r="GH166">
        <v>1</v>
      </c>
      <c r="GI166">
        <v>2</v>
      </c>
      <c r="GJ166">
        <v>0</v>
      </c>
      <c r="GK166">
        <f>ROUND(R166*(R12)/100,2)</f>
        <v>0</v>
      </c>
      <c r="GL166">
        <f>ROUND(IF(AND(BH166=3,BI166=3,FS166&lt;&gt;0),P166,0),2)</f>
        <v>0</v>
      </c>
      <c r="GM166">
        <f>ROUND(O166+X166+Y166+GK166,2)+GX166</f>
        <v>2434.4299999999998</v>
      </c>
      <c r="GN166">
        <f>IF(OR(BI166=0,BI166=1),ROUND(O166+X166+Y166+GK166,2),0)</f>
        <v>0</v>
      </c>
      <c r="GO166">
        <f>IF(BI166=2,ROUND(O166+X166+Y166+GK166,2),0)</f>
        <v>0</v>
      </c>
      <c r="GP166">
        <f>IF(BI166=4,ROUND(O166+X166+Y166+GK166,2)+GX166,0)</f>
        <v>2434.4299999999998</v>
      </c>
      <c r="GR166">
        <v>0</v>
      </c>
      <c r="GS166">
        <v>3</v>
      </c>
      <c r="GT166">
        <v>0</v>
      </c>
      <c r="GU166" t="s">
        <v>3</v>
      </c>
      <c r="GV166">
        <f>ROUND(GT166,2)</f>
        <v>0</v>
      </c>
      <c r="GW166">
        <v>1</v>
      </c>
      <c r="GX166">
        <f>ROUND(GV166*GW166*I166,2)</f>
        <v>0</v>
      </c>
      <c r="HA166">
        <v>0</v>
      </c>
      <c r="HB166">
        <v>0</v>
      </c>
      <c r="IK166">
        <v>0</v>
      </c>
    </row>
    <row r="167" spans="1:245" x14ac:dyDescent="0.2">
      <c r="A167">
        <v>17</v>
      </c>
      <c r="B167">
        <v>1</v>
      </c>
      <c r="C167">
        <f>ROW(SmtRes!A108)</f>
        <v>108</v>
      </c>
      <c r="D167">
        <f>ROW(EtalonRes!A108)</f>
        <v>108</v>
      </c>
      <c r="E167" t="s">
        <v>28</v>
      </c>
      <c r="F167" t="s">
        <v>272</v>
      </c>
      <c r="G167" t="s">
        <v>273</v>
      </c>
      <c r="H167" t="s">
        <v>112</v>
      </c>
      <c r="I167">
        <v>1</v>
      </c>
      <c r="J167">
        <v>0</v>
      </c>
      <c r="O167">
        <f>ROUND(CP167,2)</f>
        <v>165.31</v>
      </c>
      <c r="P167">
        <f>ROUND(CQ167*I167,2)</f>
        <v>0</v>
      </c>
      <c r="Q167">
        <f>ROUND(CR167*I167,2)</f>
        <v>0</v>
      </c>
      <c r="R167">
        <f>ROUND(CS167*I167,2)</f>
        <v>0</v>
      </c>
      <c r="S167">
        <f>ROUND(CT167*I167,2)</f>
        <v>165.31</v>
      </c>
      <c r="T167">
        <f>ROUND(CU167*I167,2)</f>
        <v>0</v>
      </c>
      <c r="U167">
        <f>CV167*I167</f>
        <v>0.49920000000000003</v>
      </c>
      <c r="V167">
        <f>CW167*I167</f>
        <v>0</v>
      </c>
      <c r="W167">
        <f>ROUND(CX167*I167,2)</f>
        <v>0</v>
      </c>
      <c r="X167">
        <f>ROUND(CY167,2)</f>
        <v>90.92</v>
      </c>
      <c r="Y167">
        <f>ROUND(CZ167,2)</f>
        <v>52.9</v>
      </c>
      <c r="AA167">
        <v>35891596</v>
      </c>
      <c r="AB167">
        <f>ROUND((AC167+AD167+AF167),2)</f>
        <v>6.4</v>
      </c>
      <c r="AC167">
        <f>ROUND((ES167),2)</f>
        <v>0</v>
      </c>
      <c r="AD167">
        <f>ROUND((((ET167)-(EU167))+AE167),2)</f>
        <v>0</v>
      </c>
      <c r="AE167">
        <f>ROUND((EU167),2)</f>
        <v>0</v>
      </c>
      <c r="AF167">
        <f>ROUND((((EV167*1.2)*1.3)),2)</f>
        <v>6.4</v>
      </c>
      <c r="AG167">
        <f>ROUND((AP167),2)</f>
        <v>0</v>
      </c>
      <c r="AH167">
        <f>(((EW167*1.2)*1.3))</f>
        <v>0.49920000000000003</v>
      </c>
      <c r="AI167">
        <f>(EX167)</f>
        <v>0</v>
      </c>
      <c r="AJ167">
        <f>ROUND((AS167),2)</f>
        <v>0</v>
      </c>
      <c r="AK167">
        <v>4.0999999999999996</v>
      </c>
      <c r="AL167">
        <v>0</v>
      </c>
      <c r="AM167">
        <v>0</v>
      </c>
      <c r="AN167">
        <v>0</v>
      </c>
      <c r="AO167">
        <v>4.0999999999999996</v>
      </c>
      <c r="AP167">
        <v>0</v>
      </c>
      <c r="AQ167">
        <v>0.32</v>
      </c>
      <c r="AR167">
        <v>0</v>
      </c>
      <c r="AS167">
        <v>0</v>
      </c>
      <c r="AT167">
        <v>55</v>
      </c>
      <c r="AU167">
        <v>32</v>
      </c>
      <c r="AV167">
        <v>1</v>
      </c>
      <c r="AW167">
        <v>1</v>
      </c>
      <c r="AZ167">
        <v>1</v>
      </c>
      <c r="BA167">
        <v>25.83</v>
      </c>
      <c r="BB167">
        <v>1</v>
      </c>
      <c r="BC167">
        <v>1</v>
      </c>
      <c r="BD167" t="s">
        <v>3</v>
      </c>
      <c r="BE167" t="s">
        <v>3</v>
      </c>
      <c r="BF167" t="s">
        <v>3</v>
      </c>
      <c r="BG167" t="s">
        <v>3</v>
      </c>
      <c r="BH167">
        <v>0</v>
      </c>
      <c r="BI167">
        <v>4</v>
      </c>
      <c r="BJ167" t="s">
        <v>274</v>
      </c>
      <c r="BM167">
        <v>200001</v>
      </c>
      <c r="BN167">
        <v>0</v>
      </c>
      <c r="BO167" t="s">
        <v>3</v>
      </c>
      <c r="BP167">
        <v>0</v>
      </c>
      <c r="BQ167">
        <v>4</v>
      </c>
      <c r="BR167">
        <v>0</v>
      </c>
      <c r="BS167">
        <v>1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65</v>
      </c>
      <c r="CA167">
        <v>40</v>
      </c>
      <c r="CF167">
        <v>0</v>
      </c>
      <c r="CG167">
        <v>0</v>
      </c>
      <c r="CM167">
        <v>0</v>
      </c>
      <c r="CN167" t="s">
        <v>476</v>
      </c>
      <c r="CO167">
        <v>0</v>
      </c>
      <c r="CP167">
        <f>(P167+Q167+S167)</f>
        <v>165.31</v>
      </c>
      <c r="CQ167">
        <f>AC167*BC167</f>
        <v>0</v>
      </c>
      <c r="CR167">
        <f>AD167*BB167</f>
        <v>0</v>
      </c>
      <c r="CS167">
        <f>AE167*BS167</f>
        <v>0</v>
      </c>
      <c r="CT167">
        <f>AF167*BA167</f>
        <v>165.31200000000001</v>
      </c>
      <c r="CU167">
        <f t="shared" si="86"/>
        <v>0</v>
      </c>
      <c r="CV167">
        <f t="shared" si="86"/>
        <v>0.49920000000000003</v>
      </c>
      <c r="CW167">
        <f t="shared" si="86"/>
        <v>0</v>
      </c>
      <c r="CX167">
        <f t="shared" si="86"/>
        <v>0</v>
      </c>
      <c r="CY167">
        <f>(((S167+R167)*AT167)/100)</f>
        <v>90.92049999999999</v>
      </c>
      <c r="CZ167">
        <f>(((S167+R167)*AU167)/100)</f>
        <v>52.8992</v>
      </c>
      <c r="DC167" t="s">
        <v>3</v>
      </c>
      <c r="DD167" t="s">
        <v>3</v>
      </c>
      <c r="DE167" t="s">
        <v>3</v>
      </c>
      <c r="DF167" t="s">
        <v>3</v>
      </c>
      <c r="DG167" t="s">
        <v>275</v>
      </c>
      <c r="DH167" t="s">
        <v>3</v>
      </c>
      <c r="DI167" t="s">
        <v>275</v>
      </c>
      <c r="DJ167" t="s">
        <v>3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1013</v>
      </c>
      <c r="DV167" t="s">
        <v>112</v>
      </c>
      <c r="DW167" t="s">
        <v>112</v>
      </c>
      <c r="DX167">
        <v>1</v>
      </c>
      <c r="EE167">
        <v>31266019</v>
      </c>
      <c r="EF167">
        <v>4</v>
      </c>
      <c r="EG167" t="s">
        <v>268</v>
      </c>
      <c r="EH167">
        <v>0</v>
      </c>
      <c r="EI167" t="s">
        <v>3</v>
      </c>
      <c r="EJ167">
        <v>4</v>
      </c>
      <c r="EK167">
        <v>200001</v>
      </c>
      <c r="EL167" t="s">
        <v>269</v>
      </c>
      <c r="EM167" t="s">
        <v>270</v>
      </c>
      <c r="EO167" t="s">
        <v>276</v>
      </c>
      <c r="EQ167">
        <v>512</v>
      </c>
      <c r="ER167">
        <v>4.0999999999999996</v>
      </c>
      <c r="ES167">
        <v>0</v>
      </c>
      <c r="ET167">
        <v>0</v>
      </c>
      <c r="EU167">
        <v>0</v>
      </c>
      <c r="EV167">
        <v>4.0999999999999996</v>
      </c>
      <c r="EW167">
        <v>0.32</v>
      </c>
      <c r="EX167">
        <v>0</v>
      </c>
      <c r="EY167">
        <v>0</v>
      </c>
      <c r="FQ167">
        <v>0</v>
      </c>
      <c r="FR167">
        <f>ROUND(IF(AND(BH167=3,BI167=3),P167,0),2)</f>
        <v>0</v>
      </c>
      <c r="FS167">
        <v>0</v>
      </c>
      <c r="FV167" t="s">
        <v>45</v>
      </c>
      <c r="FW167" t="s">
        <v>46</v>
      </c>
      <c r="FX167">
        <v>65</v>
      </c>
      <c r="FY167">
        <v>40</v>
      </c>
      <c r="GA167" t="s">
        <v>3</v>
      </c>
      <c r="GD167">
        <v>0</v>
      </c>
      <c r="GF167">
        <v>-1617765494</v>
      </c>
      <c r="GG167">
        <v>2</v>
      </c>
      <c r="GH167">
        <v>1</v>
      </c>
      <c r="GI167">
        <v>2</v>
      </c>
      <c r="GJ167">
        <v>0</v>
      </c>
      <c r="GK167">
        <f>ROUND(R167*(R12)/100,2)</f>
        <v>0</v>
      </c>
      <c r="GL167">
        <f>ROUND(IF(AND(BH167=3,BI167=3,FS167&lt;&gt;0),P167,0),2)</f>
        <v>0</v>
      </c>
      <c r="GM167">
        <f>ROUND(O167+X167+Y167+GK167,2)+GX167</f>
        <v>309.13</v>
      </c>
      <c r="GN167">
        <f>IF(OR(BI167=0,BI167=1),ROUND(O167+X167+Y167+GK167,2),0)</f>
        <v>0</v>
      </c>
      <c r="GO167">
        <f>IF(BI167=2,ROUND(O167+X167+Y167+GK167,2),0)</f>
        <v>0</v>
      </c>
      <c r="GP167">
        <f>IF(BI167=4,ROUND(O167+X167+Y167+GK167,2)+GX167,0)</f>
        <v>309.13</v>
      </c>
      <c r="GR167">
        <v>0</v>
      </c>
      <c r="GS167">
        <v>3</v>
      </c>
      <c r="GT167">
        <v>0</v>
      </c>
      <c r="GU167" t="s">
        <v>3</v>
      </c>
      <c r="GV167">
        <f>ROUND(GT167,2)</f>
        <v>0</v>
      </c>
      <c r="GW167">
        <v>1</v>
      </c>
      <c r="GX167">
        <f>ROUND(GV167*GW167*I167,2)</f>
        <v>0</v>
      </c>
      <c r="HA167">
        <v>0</v>
      </c>
      <c r="HB167">
        <v>0</v>
      </c>
      <c r="IK167">
        <v>0</v>
      </c>
    </row>
    <row r="169" spans="1:245" x14ac:dyDescent="0.2">
      <c r="A169" s="2">
        <v>51</v>
      </c>
      <c r="B169" s="2">
        <f>B162</f>
        <v>1</v>
      </c>
      <c r="C169" s="2">
        <f>A162</f>
        <v>3</v>
      </c>
      <c r="D169" s="2">
        <f>ROW(A162)</f>
        <v>162</v>
      </c>
      <c r="E169" s="2"/>
      <c r="F169" s="2" t="str">
        <f>IF(F162&lt;&gt;"",F162,"")</f>
        <v>10</v>
      </c>
      <c r="G169" s="2"/>
      <c r="H169" s="2">
        <v>0</v>
      </c>
      <c r="I169" s="2"/>
      <c r="J169" s="2"/>
      <c r="K169" s="2"/>
      <c r="L169" s="2"/>
      <c r="M169" s="2"/>
      <c r="N169" s="2"/>
      <c r="O169" s="2">
        <f t="shared" ref="O169:T169" si="87">ROUND(AB169,2)</f>
        <v>1467.14</v>
      </c>
      <c r="P169" s="2">
        <f t="shared" si="87"/>
        <v>0</v>
      </c>
      <c r="Q169" s="2">
        <f t="shared" si="87"/>
        <v>0</v>
      </c>
      <c r="R169" s="2">
        <f t="shared" si="87"/>
        <v>0</v>
      </c>
      <c r="S169" s="2">
        <f t="shared" si="87"/>
        <v>1467.14</v>
      </c>
      <c r="T169" s="2">
        <f t="shared" si="87"/>
        <v>0</v>
      </c>
      <c r="U169" s="2">
        <f>AH169</f>
        <v>4.4351999999999991</v>
      </c>
      <c r="V169" s="2">
        <f>AI169</f>
        <v>0</v>
      </c>
      <c r="W169" s="2">
        <f>ROUND(AJ169,2)</f>
        <v>0</v>
      </c>
      <c r="X169" s="2">
        <f>ROUND(AK169,2)</f>
        <v>806.93</v>
      </c>
      <c r="Y169" s="2">
        <f>ROUND(AL169,2)</f>
        <v>469.49</v>
      </c>
      <c r="Z169" s="2"/>
      <c r="AA169" s="2"/>
      <c r="AB169" s="2">
        <f>ROUND(SUMIF(AA166:AA167,"=35891596",O166:O167),2)</f>
        <v>1467.14</v>
      </c>
      <c r="AC169" s="2">
        <f>ROUND(SUMIF(AA166:AA167,"=35891596",P166:P167),2)</f>
        <v>0</v>
      </c>
      <c r="AD169" s="2">
        <f>ROUND(SUMIF(AA166:AA167,"=35891596",Q166:Q167),2)</f>
        <v>0</v>
      </c>
      <c r="AE169" s="2">
        <f>ROUND(SUMIF(AA166:AA167,"=35891596",R166:R167),2)</f>
        <v>0</v>
      </c>
      <c r="AF169" s="2">
        <f>ROUND(SUMIF(AA166:AA167,"=35891596",S166:S167),2)</f>
        <v>1467.14</v>
      </c>
      <c r="AG169" s="2">
        <f>ROUND(SUMIF(AA166:AA167,"=35891596",T166:T167),2)</f>
        <v>0</v>
      </c>
      <c r="AH169" s="2">
        <f>SUMIF(AA166:AA167,"=35891596",U166:U167)</f>
        <v>4.4351999999999991</v>
      </c>
      <c r="AI169" s="2">
        <f>SUMIF(AA166:AA167,"=35891596",V166:V167)</f>
        <v>0</v>
      </c>
      <c r="AJ169" s="2">
        <f>ROUND(SUMIF(AA166:AA167,"=35891596",W166:W167),2)</f>
        <v>0</v>
      </c>
      <c r="AK169" s="2">
        <f>ROUND(SUMIF(AA166:AA167,"=35891596",X166:X167),2)</f>
        <v>806.93</v>
      </c>
      <c r="AL169" s="2">
        <f>ROUND(SUMIF(AA166:AA167,"=35891596",Y166:Y167),2)</f>
        <v>469.49</v>
      </c>
      <c r="AM169" s="2"/>
      <c r="AN169" s="2"/>
      <c r="AO169" s="2">
        <f t="shared" ref="AO169:BC169" si="88">ROUND(BX169,2)</f>
        <v>0</v>
      </c>
      <c r="AP169" s="2">
        <f t="shared" si="88"/>
        <v>0</v>
      </c>
      <c r="AQ169" s="2">
        <f t="shared" si="88"/>
        <v>0</v>
      </c>
      <c r="AR169" s="2">
        <f t="shared" si="88"/>
        <v>2743.56</v>
      </c>
      <c r="AS169" s="2">
        <f t="shared" si="88"/>
        <v>0</v>
      </c>
      <c r="AT169" s="2">
        <f t="shared" si="88"/>
        <v>0</v>
      </c>
      <c r="AU169" s="2">
        <f t="shared" si="88"/>
        <v>2743.56</v>
      </c>
      <c r="AV169" s="2">
        <f t="shared" si="88"/>
        <v>0</v>
      </c>
      <c r="AW169" s="2">
        <f t="shared" si="88"/>
        <v>0</v>
      </c>
      <c r="AX169" s="2">
        <f t="shared" si="88"/>
        <v>0</v>
      </c>
      <c r="AY169" s="2">
        <f t="shared" si="88"/>
        <v>0</v>
      </c>
      <c r="AZ169" s="2">
        <f t="shared" si="88"/>
        <v>0</v>
      </c>
      <c r="BA169" s="2">
        <f t="shared" si="88"/>
        <v>0</v>
      </c>
      <c r="BB169" s="2">
        <f t="shared" si="88"/>
        <v>0</v>
      </c>
      <c r="BC169" s="2">
        <f t="shared" si="88"/>
        <v>0</v>
      </c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>
        <f>ROUND(SUMIF(AA166:AA167,"=35891596",FQ166:FQ167),2)</f>
        <v>0</v>
      </c>
      <c r="BY169" s="2">
        <f>ROUND(SUMIF(AA166:AA167,"=35891596",FR166:FR167),2)</f>
        <v>0</v>
      </c>
      <c r="BZ169" s="2">
        <f>ROUND(SUMIF(AA166:AA167,"=35891596",GL166:GL167),2)</f>
        <v>0</v>
      </c>
      <c r="CA169" s="2">
        <f>ROUND(SUMIF(AA166:AA167,"=35891596",GM166:GM167),2)</f>
        <v>2743.56</v>
      </c>
      <c r="CB169" s="2">
        <f>ROUND(SUMIF(AA166:AA167,"=35891596",GN166:GN167),2)</f>
        <v>0</v>
      </c>
      <c r="CC169" s="2">
        <f>ROUND(SUMIF(AA166:AA167,"=35891596",GO166:GO167),2)</f>
        <v>0</v>
      </c>
      <c r="CD169" s="2">
        <f>ROUND(SUMIF(AA166:AA167,"=35891596",GP166:GP167),2)</f>
        <v>2743.56</v>
      </c>
      <c r="CE169" s="2">
        <f>AC169-BX169</f>
        <v>0</v>
      </c>
      <c r="CF169" s="2">
        <f>AC169-BY169</f>
        <v>0</v>
      </c>
      <c r="CG169" s="2">
        <f>BX169-BZ169</f>
        <v>0</v>
      </c>
      <c r="CH169" s="2">
        <f>AC169-BX169-BY169+BZ169</f>
        <v>0</v>
      </c>
      <c r="CI169" s="2">
        <f>BY169-BZ169</f>
        <v>0</v>
      </c>
      <c r="CJ169" s="2">
        <f>ROUND(SUMIF(AA166:AA167,"=35891596",GX166:GX167),2)</f>
        <v>0</v>
      </c>
      <c r="CK169" s="2">
        <f>ROUND(SUMIF(AA166:AA167,"=35891596",GY166:GY167),2)</f>
        <v>0</v>
      </c>
      <c r="CL169" s="2">
        <f>ROUND(SUMIF(AA166:AA167,"=35891596",GZ166:GZ167),2)</f>
        <v>0</v>
      </c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  <c r="GU169" s="3"/>
      <c r="GV169" s="3"/>
      <c r="GW169" s="3"/>
      <c r="GX169" s="3">
        <v>0</v>
      </c>
    </row>
    <row r="171" spans="1:245" x14ac:dyDescent="0.2">
      <c r="A171" s="4">
        <v>50</v>
      </c>
      <c r="B171" s="4">
        <v>0</v>
      </c>
      <c r="C171" s="4">
        <v>0</v>
      </c>
      <c r="D171" s="4">
        <v>1</v>
      </c>
      <c r="E171" s="4">
        <v>201</v>
      </c>
      <c r="F171" s="4">
        <f>ROUND(Source!O169,O171)</f>
        <v>1467.14</v>
      </c>
      <c r="G171" s="4" t="s">
        <v>163</v>
      </c>
      <c r="H171" s="4" t="s">
        <v>164</v>
      </c>
      <c r="I171" s="4"/>
      <c r="J171" s="4"/>
      <c r="K171" s="4">
        <v>201</v>
      </c>
      <c r="L171" s="4">
        <v>1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2" spans="1:245" x14ac:dyDescent="0.2">
      <c r="A172" s="4">
        <v>50</v>
      </c>
      <c r="B172" s="4">
        <v>0</v>
      </c>
      <c r="C172" s="4">
        <v>0</v>
      </c>
      <c r="D172" s="4">
        <v>1</v>
      </c>
      <c r="E172" s="4">
        <v>202</v>
      </c>
      <c r="F172" s="4">
        <f>ROUND(Source!P169,O172)</f>
        <v>0</v>
      </c>
      <c r="G172" s="4" t="s">
        <v>165</v>
      </c>
      <c r="H172" s="4" t="s">
        <v>166</v>
      </c>
      <c r="I172" s="4"/>
      <c r="J172" s="4"/>
      <c r="K172" s="4">
        <v>202</v>
      </c>
      <c r="L172" s="4">
        <v>2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3" spans="1:245" x14ac:dyDescent="0.2">
      <c r="A173" s="4">
        <v>50</v>
      </c>
      <c r="B173" s="4">
        <v>0</v>
      </c>
      <c r="C173" s="4">
        <v>0</v>
      </c>
      <c r="D173" s="4">
        <v>1</v>
      </c>
      <c r="E173" s="4">
        <v>222</v>
      </c>
      <c r="F173" s="4">
        <f>ROUND(Source!AO169,O173)</f>
        <v>0</v>
      </c>
      <c r="G173" s="4" t="s">
        <v>167</v>
      </c>
      <c r="H173" s="4" t="s">
        <v>168</v>
      </c>
      <c r="I173" s="4"/>
      <c r="J173" s="4"/>
      <c r="K173" s="4">
        <v>222</v>
      </c>
      <c r="L173" s="4">
        <v>3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/>
    </row>
    <row r="174" spans="1:245" x14ac:dyDescent="0.2">
      <c r="A174" s="4">
        <v>50</v>
      </c>
      <c r="B174" s="4">
        <v>0</v>
      </c>
      <c r="C174" s="4">
        <v>0</v>
      </c>
      <c r="D174" s="4">
        <v>1</v>
      </c>
      <c r="E174" s="4">
        <v>225</v>
      </c>
      <c r="F174" s="4">
        <f>ROUND(Source!AV169,O174)</f>
        <v>0</v>
      </c>
      <c r="G174" s="4" t="s">
        <v>169</v>
      </c>
      <c r="H174" s="4" t="s">
        <v>170</v>
      </c>
      <c r="I174" s="4"/>
      <c r="J174" s="4"/>
      <c r="K174" s="4">
        <v>225</v>
      </c>
      <c r="L174" s="4">
        <v>4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/>
    </row>
    <row r="175" spans="1:245" x14ac:dyDescent="0.2">
      <c r="A175" s="4">
        <v>50</v>
      </c>
      <c r="B175" s="4">
        <v>0</v>
      </c>
      <c r="C175" s="4">
        <v>0</v>
      </c>
      <c r="D175" s="4">
        <v>1</v>
      </c>
      <c r="E175" s="4">
        <v>226</v>
      </c>
      <c r="F175" s="4">
        <f>ROUND(Source!AW169,O175)</f>
        <v>0</v>
      </c>
      <c r="G175" s="4" t="s">
        <v>171</v>
      </c>
      <c r="H175" s="4" t="s">
        <v>172</v>
      </c>
      <c r="I175" s="4"/>
      <c r="J175" s="4"/>
      <c r="K175" s="4">
        <v>226</v>
      </c>
      <c r="L175" s="4">
        <v>5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/>
    </row>
    <row r="176" spans="1:245" x14ac:dyDescent="0.2">
      <c r="A176" s="4">
        <v>50</v>
      </c>
      <c r="B176" s="4">
        <v>0</v>
      </c>
      <c r="C176" s="4">
        <v>0</v>
      </c>
      <c r="D176" s="4">
        <v>1</v>
      </c>
      <c r="E176" s="4">
        <v>227</v>
      </c>
      <c r="F176" s="4">
        <f>ROUND(Source!AX169,O176)</f>
        <v>0</v>
      </c>
      <c r="G176" s="4" t="s">
        <v>173</v>
      </c>
      <c r="H176" s="4" t="s">
        <v>174</v>
      </c>
      <c r="I176" s="4"/>
      <c r="J176" s="4"/>
      <c r="K176" s="4">
        <v>227</v>
      </c>
      <c r="L176" s="4">
        <v>6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7" spans="1:23" x14ac:dyDescent="0.2">
      <c r="A177" s="4">
        <v>50</v>
      </c>
      <c r="B177" s="4">
        <v>0</v>
      </c>
      <c r="C177" s="4">
        <v>0</v>
      </c>
      <c r="D177" s="4">
        <v>1</v>
      </c>
      <c r="E177" s="4">
        <v>228</v>
      </c>
      <c r="F177" s="4">
        <f>ROUND(Source!AY169,O177)</f>
        <v>0</v>
      </c>
      <c r="G177" s="4" t="s">
        <v>175</v>
      </c>
      <c r="H177" s="4" t="s">
        <v>176</v>
      </c>
      <c r="I177" s="4"/>
      <c r="J177" s="4"/>
      <c r="K177" s="4">
        <v>228</v>
      </c>
      <c r="L177" s="4">
        <v>7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23" x14ac:dyDescent="0.2">
      <c r="A178" s="4">
        <v>50</v>
      </c>
      <c r="B178" s="4">
        <v>0</v>
      </c>
      <c r="C178" s="4">
        <v>0</v>
      </c>
      <c r="D178" s="4">
        <v>1</v>
      </c>
      <c r="E178" s="4">
        <v>216</v>
      </c>
      <c r="F178" s="4">
        <f>ROUND(Source!AP169,O178)</f>
        <v>0</v>
      </c>
      <c r="G178" s="4" t="s">
        <v>177</v>
      </c>
      <c r="H178" s="4" t="s">
        <v>178</v>
      </c>
      <c r="I178" s="4"/>
      <c r="J178" s="4"/>
      <c r="K178" s="4">
        <v>216</v>
      </c>
      <c r="L178" s="4">
        <v>8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23" x14ac:dyDescent="0.2">
      <c r="A179" s="4">
        <v>50</v>
      </c>
      <c r="B179" s="4">
        <v>0</v>
      </c>
      <c r="C179" s="4">
        <v>0</v>
      </c>
      <c r="D179" s="4">
        <v>1</v>
      </c>
      <c r="E179" s="4">
        <v>223</v>
      </c>
      <c r="F179" s="4">
        <f>ROUND(Source!AQ169,O179)</f>
        <v>0</v>
      </c>
      <c r="G179" s="4" t="s">
        <v>179</v>
      </c>
      <c r="H179" s="4" t="s">
        <v>180</v>
      </c>
      <c r="I179" s="4"/>
      <c r="J179" s="4"/>
      <c r="K179" s="4">
        <v>223</v>
      </c>
      <c r="L179" s="4">
        <v>9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 s="4">
        <v>50</v>
      </c>
      <c r="B180" s="4">
        <v>0</v>
      </c>
      <c r="C180" s="4">
        <v>0</v>
      </c>
      <c r="D180" s="4">
        <v>1</v>
      </c>
      <c r="E180" s="4">
        <v>229</v>
      </c>
      <c r="F180" s="4">
        <f>ROUND(Source!AZ169,O180)</f>
        <v>0</v>
      </c>
      <c r="G180" s="4" t="s">
        <v>181</v>
      </c>
      <c r="H180" s="4" t="s">
        <v>182</v>
      </c>
      <c r="I180" s="4"/>
      <c r="J180" s="4"/>
      <c r="K180" s="4">
        <v>229</v>
      </c>
      <c r="L180" s="4">
        <v>10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 s="4">
        <v>50</v>
      </c>
      <c r="B181" s="4">
        <v>0</v>
      </c>
      <c r="C181" s="4">
        <v>0</v>
      </c>
      <c r="D181" s="4">
        <v>1</v>
      </c>
      <c r="E181" s="4">
        <v>203</v>
      </c>
      <c r="F181" s="4">
        <f>ROUND(Source!Q169,O181)</f>
        <v>0</v>
      </c>
      <c r="G181" s="4" t="s">
        <v>183</v>
      </c>
      <c r="H181" s="4" t="s">
        <v>184</v>
      </c>
      <c r="I181" s="4"/>
      <c r="J181" s="4"/>
      <c r="K181" s="4">
        <v>203</v>
      </c>
      <c r="L181" s="4">
        <v>11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 s="4">
        <v>50</v>
      </c>
      <c r="B182" s="4">
        <v>0</v>
      </c>
      <c r="C182" s="4">
        <v>0</v>
      </c>
      <c r="D182" s="4">
        <v>1</v>
      </c>
      <c r="E182" s="4">
        <v>231</v>
      </c>
      <c r="F182" s="4">
        <f>ROUND(Source!BB169,O182)</f>
        <v>0</v>
      </c>
      <c r="G182" s="4" t="s">
        <v>185</v>
      </c>
      <c r="H182" s="4" t="s">
        <v>186</v>
      </c>
      <c r="I182" s="4"/>
      <c r="J182" s="4"/>
      <c r="K182" s="4">
        <v>231</v>
      </c>
      <c r="L182" s="4">
        <v>12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 s="4">
        <v>50</v>
      </c>
      <c r="B183" s="4">
        <v>0</v>
      </c>
      <c r="C183" s="4">
        <v>0</v>
      </c>
      <c r="D183" s="4">
        <v>1</v>
      </c>
      <c r="E183" s="4">
        <v>204</v>
      </c>
      <c r="F183" s="4">
        <f>ROUND(Source!R169,O183)</f>
        <v>0</v>
      </c>
      <c r="G183" s="4" t="s">
        <v>187</v>
      </c>
      <c r="H183" s="4" t="s">
        <v>188</v>
      </c>
      <c r="I183" s="4"/>
      <c r="J183" s="4"/>
      <c r="K183" s="4">
        <v>204</v>
      </c>
      <c r="L183" s="4">
        <v>13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 s="4">
        <v>50</v>
      </c>
      <c r="B184" s="4">
        <v>0</v>
      </c>
      <c r="C184" s="4">
        <v>0</v>
      </c>
      <c r="D184" s="4">
        <v>1</v>
      </c>
      <c r="E184" s="4">
        <v>205</v>
      </c>
      <c r="F184" s="4">
        <f>ROUND(Source!S169,O184)</f>
        <v>1467.14</v>
      </c>
      <c r="G184" s="4" t="s">
        <v>189</v>
      </c>
      <c r="H184" s="4" t="s">
        <v>190</v>
      </c>
      <c r="I184" s="4"/>
      <c r="J184" s="4"/>
      <c r="K184" s="4">
        <v>205</v>
      </c>
      <c r="L184" s="4">
        <v>14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 s="4">
        <v>50</v>
      </c>
      <c r="B185" s="4">
        <v>0</v>
      </c>
      <c r="C185" s="4">
        <v>0</v>
      </c>
      <c r="D185" s="4">
        <v>1</v>
      </c>
      <c r="E185" s="4">
        <v>232</v>
      </c>
      <c r="F185" s="4">
        <f>ROUND(Source!BC169,O185)</f>
        <v>0</v>
      </c>
      <c r="G185" s="4" t="s">
        <v>191</v>
      </c>
      <c r="H185" s="4" t="s">
        <v>192</v>
      </c>
      <c r="I185" s="4"/>
      <c r="J185" s="4"/>
      <c r="K185" s="4">
        <v>232</v>
      </c>
      <c r="L185" s="4">
        <v>15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 s="4">
        <v>50</v>
      </c>
      <c r="B186" s="4">
        <v>0</v>
      </c>
      <c r="C186" s="4">
        <v>0</v>
      </c>
      <c r="D186" s="4">
        <v>1</v>
      </c>
      <c r="E186" s="4">
        <v>214</v>
      </c>
      <c r="F186" s="4">
        <f>ROUND(Source!AS169,O186)</f>
        <v>0</v>
      </c>
      <c r="G186" s="4" t="s">
        <v>193</v>
      </c>
      <c r="H186" s="4" t="s">
        <v>194</v>
      </c>
      <c r="I186" s="4"/>
      <c r="J186" s="4"/>
      <c r="K186" s="4">
        <v>214</v>
      </c>
      <c r="L186" s="4">
        <v>16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/>
    </row>
    <row r="187" spans="1:23" x14ac:dyDescent="0.2">
      <c r="A187" s="4">
        <v>50</v>
      </c>
      <c r="B187" s="4">
        <v>0</v>
      </c>
      <c r="C187" s="4">
        <v>0</v>
      </c>
      <c r="D187" s="4">
        <v>1</v>
      </c>
      <c r="E187" s="4">
        <v>215</v>
      </c>
      <c r="F187" s="4">
        <f>ROUND(Source!AT169,O187)</f>
        <v>0</v>
      </c>
      <c r="G187" s="4" t="s">
        <v>195</v>
      </c>
      <c r="H187" s="4" t="s">
        <v>196</v>
      </c>
      <c r="I187" s="4"/>
      <c r="J187" s="4"/>
      <c r="K187" s="4">
        <v>215</v>
      </c>
      <c r="L187" s="4">
        <v>17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/>
    </row>
    <row r="188" spans="1:23" x14ac:dyDescent="0.2">
      <c r="A188" s="4">
        <v>50</v>
      </c>
      <c r="B188" s="4">
        <v>0</v>
      </c>
      <c r="C188" s="4">
        <v>0</v>
      </c>
      <c r="D188" s="4">
        <v>1</v>
      </c>
      <c r="E188" s="4">
        <v>217</v>
      </c>
      <c r="F188" s="4">
        <f>ROUND(Source!AU169,O188)</f>
        <v>2743.56</v>
      </c>
      <c r="G188" s="4" t="s">
        <v>197</v>
      </c>
      <c r="H188" s="4" t="s">
        <v>198</v>
      </c>
      <c r="I188" s="4"/>
      <c r="J188" s="4"/>
      <c r="K188" s="4">
        <v>217</v>
      </c>
      <c r="L188" s="4">
        <v>18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/>
    </row>
    <row r="189" spans="1:23" x14ac:dyDescent="0.2">
      <c r="A189" s="4">
        <v>50</v>
      </c>
      <c r="B189" s="4">
        <v>0</v>
      </c>
      <c r="C189" s="4">
        <v>0</v>
      </c>
      <c r="D189" s="4">
        <v>1</v>
      </c>
      <c r="E189" s="4">
        <v>230</v>
      </c>
      <c r="F189" s="4">
        <f>ROUND(Source!BA169,O189)</f>
        <v>0</v>
      </c>
      <c r="G189" s="4" t="s">
        <v>199</v>
      </c>
      <c r="H189" s="4" t="s">
        <v>200</v>
      </c>
      <c r="I189" s="4"/>
      <c r="J189" s="4"/>
      <c r="K189" s="4">
        <v>230</v>
      </c>
      <c r="L189" s="4">
        <v>19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/>
    </row>
    <row r="190" spans="1:23" x14ac:dyDescent="0.2">
      <c r="A190" s="4">
        <v>50</v>
      </c>
      <c r="B190" s="4">
        <v>0</v>
      </c>
      <c r="C190" s="4">
        <v>0</v>
      </c>
      <c r="D190" s="4">
        <v>1</v>
      </c>
      <c r="E190" s="4">
        <v>206</v>
      </c>
      <c r="F190" s="4">
        <f>ROUND(Source!T169,O190)</f>
        <v>0</v>
      </c>
      <c r="G190" s="4" t="s">
        <v>201</v>
      </c>
      <c r="H190" s="4" t="s">
        <v>202</v>
      </c>
      <c r="I190" s="4"/>
      <c r="J190" s="4"/>
      <c r="K190" s="4">
        <v>206</v>
      </c>
      <c r="L190" s="4">
        <v>20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/>
    </row>
    <row r="191" spans="1:23" x14ac:dyDescent="0.2">
      <c r="A191" s="4">
        <v>50</v>
      </c>
      <c r="B191" s="4">
        <v>0</v>
      </c>
      <c r="C191" s="4">
        <v>0</v>
      </c>
      <c r="D191" s="4">
        <v>1</v>
      </c>
      <c r="E191" s="4">
        <v>207</v>
      </c>
      <c r="F191" s="4">
        <f>Source!U169</f>
        <v>4.4351999999999991</v>
      </c>
      <c r="G191" s="4" t="s">
        <v>203</v>
      </c>
      <c r="H191" s="4" t="s">
        <v>204</v>
      </c>
      <c r="I191" s="4"/>
      <c r="J191" s="4"/>
      <c r="K191" s="4">
        <v>207</v>
      </c>
      <c r="L191" s="4">
        <v>21</v>
      </c>
      <c r="M191" s="4">
        <v>3</v>
      </c>
      <c r="N191" s="4" t="s">
        <v>3</v>
      </c>
      <c r="O191" s="4">
        <v>-1</v>
      </c>
      <c r="P191" s="4"/>
      <c r="Q191" s="4"/>
      <c r="R191" s="4"/>
      <c r="S191" s="4"/>
      <c r="T191" s="4"/>
      <c r="U191" s="4"/>
      <c r="V191" s="4"/>
      <c r="W191" s="4"/>
    </row>
    <row r="192" spans="1:23" x14ac:dyDescent="0.2">
      <c r="A192" s="4">
        <v>50</v>
      </c>
      <c r="B192" s="4">
        <v>0</v>
      </c>
      <c r="C192" s="4">
        <v>0</v>
      </c>
      <c r="D192" s="4">
        <v>1</v>
      </c>
      <c r="E192" s="4">
        <v>208</v>
      </c>
      <c r="F192" s="4">
        <f>Source!V169</f>
        <v>0</v>
      </c>
      <c r="G192" s="4" t="s">
        <v>205</v>
      </c>
      <c r="H192" s="4" t="s">
        <v>206</v>
      </c>
      <c r="I192" s="4"/>
      <c r="J192" s="4"/>
      <c r="K192" s="4">
        <v>208</v>
      </c>
      <c r="L192" s="4">
        <v>22</v>
      </c>
      <c r="M192" s="4">
        <v>3</v>
      </c>
      <c r="N192" s="4" t="s">
        <v>3</v>
      </c>
      <c r="O192" s="4">
        <v>-1</v>
      </c>
      <c r="P192" s="4"/>
      <c r="Q192" s="4"/>
      <c r="R192" s="4"/>
      <c r="S192" s="4"/>
      <c r="T192" s="4"/>
      <c r="U192" s="4"/>
      <c r="V192" s="4"/>
      <c r="W192" s="4"/>
    </row>
    <row r="193" spans="1:206" x14ac:dyDescent="0.2">
      <c r="A193" s="4">
        <v>50</v>
      </c>
      <c r="B193" s="4">
        <v>0</v>
      </c>
      <c r="C193" s="4">
        <v>0</v>
      </c>
      <c r="D193" s="4">
        <v>1</v>
      </c>
      <c r="E193" s="4">
        <v>209</v>
      </c>
      <c r="F193" s="4">
        <f>ROUND(Source!W169,O193)</f>
        <v>0</v>
      </c>
      <c r="G193" s="4" t="s">
        <v>207</v>
      </c>
      <c r="H193" s="4" t="s">
        <v>208</v>
      </c>
      <c r="I193" s="4"/>
      <c r="J193" s="4"/>
      <c r="K193" s="4">
        <v>209</v>
      </c>
      <c r="L193" s="4">
        <v>23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/>
    </row>
    <row r="194" spans="1:206" x14ac:dyDescent="0.2">
      <c r="A194" s="4">
        <v>50</v>
      </c>
      <c r="B194" s="4">
        <v>0</v>
      </c>
      <c r="C194" s="4">
        <v>0</v>
      </c>
      <c r="D194" s="4">
        <v>1</v>
      </c>
      <c r="E194" s="4">
        <v>210</v>
      </c>
      <c r="F194" s="4">
        <f>ROUND(Source!X169,O194)</f>
        <v>806.93</v>
      </c>
      <c r="G194" s="4" t="s">
        <v>209</v>
      </c>
      <c r="H194" s="4" t="s">
        <v>210</v>
      </c>
      <c r="I194" s="4"/>
      <c r="J194" s="4"/>
      <c r="K194" s="4">
        <v>210</v>
      </c>
      <c r="L194" s="4">
        <v>24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/>
    </row>
    <row r="195" spans="1:206" x14ac:dyDescent="0.2">
      <c r="A195" s="4">
        <v>50</v>
      </c>
      <c r="B195" s="4">
        <v>0</v>
      </c>
      <c r="C195" s="4">
        <v>0</v>
      </c>
      <c r="D195" s="4">
        <v>1</v>
      </c>
      <c r="E195" s="4">
        <v>211</v>
      </c>
      <c r="F195" s="4">
        <f>ROUND(Source!Y169,O195)</f>
        <v>469.49</v>
      </c>
      <c r="G195" s="4" t="s">
        <v>211</v>
      </c>
      <c r="H195" s="4" t="s">
        <v>212</v>
      </c>
      <c r="I195" s="4"/>
      <c r="J195" s="4"/>
      <c r="K195" s="4">
        <v>211</v>
      </c>
      <c r="L195" s="4">
        <v>25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/>
    </row>
    <row r="196" spans="1:206" x14ac:dyDescent="0.2">
      <c r="A196" s="4">
        <v>50</v>
      </c>
      <c r="B196" s="4">
        <v>0</v>
      </c>
      <c r="C196" s="4">
        <v>0</v>
      </c>
      <c r="D196" s="4">
        <v>1</v>
      </c>
      <c r="E196" s="4">
        <v>224</v>
      </c>
      <c r="F196" s="4">
        <f>ROUND(Source!AR169,O196)</f>
        <v>2743.56</v>
      </c>
      <c r="G196" s="4" t="s">
        <v>213</v>
      </c>
      <c r="H196" s="4" t="s">
        <v>214</v>
      </c>
      <c r="I196" s="4"/>
      <c r="J196" s="4"/>
      <c r="K196" s="4">
        <v>224</v>
      </c>
      <c r="L196" s="4">
        <v>26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/>
    </row>
    <row r="198" spans="1:206" x14ac:dyDescent="0.2">
      <c r="A198" s="2">
        <v>51</v>
      </c>
      <c r="B198" s="2">
        <f>B12</f>
        <v>256</v>
      </c>
      <c r="C198" s="2">
        <f>A12</f>
        <v>1</v>
      </c>
      <c r="D198" s="2">
        <f>ROW(A12)</f>
        <v>12</v>
      </c>
      <c r="E198" s="2"/>
      <c r="F198" s="2" t="str">
        <f>IF(F12&lt;&gt;"",F12,"")</f>
        <v/>
      </c>
      <c r="G198" s="2" t="str">
        <f>IF(G12&lt;&gt;"",G12,"")</f>
        <v>Перефиксация КЛ-0,4 кВ из ИВРУ в СП-4</v>
      </c>
      <c r="H198" s="2">
        <v>0</v>
      </c>
      <c r="I198" s="2"/>
      <c r="J198" s="2"/>
      <c r="K198" s="2"/>
      <c r="L198" s="2"/>
      <c r="M198" s="2"/>
      <c r="N198" s="2"/>
      <c r="O198" s="2">
        <f t="shared" ref="O198:T198" si="89">ROUND(O132+O169,2)</f>
        <v>368178.05</v>
      </c>
      <c r="P198" s="2">
        <f t="shared" si="89"/>
        <v>313825.78000000003</v>
      </c>
      <c r="Q198" s="2">
        <f t="shared" si="89"/>
        <v>19683.72</v>
      </c>
      <c r="R198" s="2">
        <f t="shared" si="89"/>
        <v>7363.8</v>
      </c>
      <c r="S198" s="2">
        <f t="shared" si="89"/>
        <v>34668.550000000003</v>
      </c>
      <c r="T198" s="2">
        <f t="shared" si="89"/>
        <v>0</v>
      </c>
      <c r="U198" s="2">
        <f>U132+U169</f>
        <v>154.60589280000002</v>
      </c>
      <c r="V198" s="2">
        <f>V132+V169</f>
        <v>22.416739199999999</v>
      </c>
      <c r="W198" s="2">
        <f>ROUND(W132+W169,2)</f>
        <v>0</v>
      </c>
      <c r="X198" s="2">
        <f>ROUND(X132+X169,2)</f>
        <v>37943.629999999997</v>
      </c>
      <c r="Y198" s="2">
        <f>ROUND(Y132+Y169,2)</f>
        <v>23905.7</v>
      </c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>
        <f t="shared" ref="AO198:BC198" si="90">ROUND(AO132+AO169,2)</f>
        <v>154585.5</v>
      </c>
      <c r="AP198" s="2">
        <f t="shared" si="90"/>
        <v>0</v>
      </c>
      <c r="AQ198" s="2">
        <f t="shared" si="90"/>
        <v>0</v>
      </c>
      <c r="AR198" s="2">
        <f t="shared" si="90"/>
        <v>440530.67</v>
      </c>
      <c r="AS198" s="2">
        <f t="shared" si="90"/>
        <v>245001.86</v>
      </c>
      <c r="AT198" s="2">
        <f t="shared" si="90"/>
        <v>192257.73</v>
      </c>
      <c r="AU198" s="2">
        <f t="shared" si="90"/>
        <v>3271.08</v>
      </c>
      <c r="AV198" s="2">
        <f t="shared" si="90"/>
        <v>159240.28</v>
      </c>
      <c r="AW198" s="2">
        <f t="shared" si="90"/>
        <v>313825.78000000003</v>
      </c>
      <c r="AX198" s="2">
        <f t="shared" si="90"/>
        <v>154585.5</v>
      </c>
      <c r="AY198" s="2">
        <f t="shared" si="90"/>
        <v>159240.28</v>
      </c>
      <c r="AZ198" s="2">
        <f t="shared" si="90"/>
        <v>0</v>
      </c>
      <c r="BA198" s="2">
        <f t="shared" si="90"/>
        <v>0</v>
      </c>
      <c r="BB198" s="2">
        <f t="shared" si="90"/>
        <v>0</v>
      </c>
      <c r="BC198" s="2">
        <f t="shared" si="90"/>
        <v>0</v>
      </c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3"/>
      <c r="DH198" s="3"/>
      <c r="DI198" s="3"/>
      <c r="DJ198" s="3"/>
      <c r="DK198" s="3"/>
      <c r="DL198" s="3"/>
      <c r="DM198" s="3"/>
      <c r="DN198" s="3"/>
      <c r="DO198" s="3"/>
      <c r="DP198" s="3"/>
      <c r="DQ198" s="3"/>
      <c r="DR198" s="3"/>
      <c r="DS198" s="3"/>
      <c r="DT198" s="3"/>
      <c r="DU198" s="3"/>
      <c r="DV198" s="3"/>
      <c r="DW198" s="3"/>
      <c r="DX198" s="3"/>
      <c r="DY198" s="3"/>
      <c r="DZ198" s="3"/>
      <c r="EA198" s="3"/>
      <c r="EB198" s="3"/>
      <c r="EC198" s="3"/>
      <c r="ED198" s="3"/>
      <c r="EE198" s="3"/>
      <c r="EF198" s="3"/>
      <c r="EG198" s="3"/>
      <c r="EH198" s="3"/>
      <c r="EI198" s="3"/>
      <c r="EJ198" s="3"/>
      <c r="EK198" s="3"/>
      <c r="EL198" s="3"/>
      <c r="EM198" s="3"/>
      <c r="EN198" s="3"/>
      <c r="EO198" s="3"/>
      <c r="EP198" s="3"/>
      <c r="EQ198" s="3"/>
      <c r="ER198" s="3"/>
      <c r="ES198" s="3"/>
      <c r="ET198" s="3"/>
      <c r="EU198" s="3"/>
      <c r="EV198" s="3"/>
      <c r="EW198" s="3"/>
      <c r="EX198" s="3"/>
      <c r="EY198" s="3"/>
      <c r="EZ198" s="3"/>
      <c r="FA198" s="3"/>
      <c r="FB198" s="3"/>
      <c r="FC198" s="3"/>
      <c r="FD198" s="3"/>
      <c r="FE198" s="3"/>
      <c r="FF198" s="3"/>
      <c r="FG198" s="3"/>
      <c r="FH198" s="3"/>
      <c r="FI198" s="3"/>
      <c r="FJ198" s="3"/>
      <c r="FK198" s="3"/>
      <c r="FL198" s="3"/>
      <c r="FM198" s="3"/>
      <c r="FN198" s="3"/>
      <c r="FO198" s="3"/>
      <c r="FP198" s="3"/>
      <c r="FQ198" s="3"/>
      <c r="FR198" s="3"/>
      <c r="FS198" s="3"/>
      <c r="FT198" s="3"/>
      <c r="FU198" s="3"/>
      <c r="FV198" s="3"/>
      <c r="FW198" s="3"/>
      <c r="FX198" s="3"/>
      <c r="FY198" s="3"/>
      <c r="FZ198" s="3"/>
      <c r="GA198" s="3"/>
      <c r="GB198" s="3"/>
      <c r="GC198" s="3"/>
      <c r="GD198" s="3"/>
      <c r="GE198" s="3"/>
      <c r="GF198" s="3"/>
      <c r="GG198" s="3"/>
      <c r="GH198" s="3"/>
      <c r="GI198" s="3"/>
      <c r="GJ198" s="3"/>
      <c r="GK198" s="3"/>
      <c r="GL198" s="3"/>
      <c r="GM198" s="3"/>
      <c r="GN198" s="3"/>
      <c r="GO198" s="3"/>
      <c r="GP198" s="3"/>
      <c r="GQ198" s="3"/>
      <c r="GR198" s="3"/>
      <c r="GS198" s="3"/>
      <c r="GT198" s="3"/>
      <c r="GU198" s="3"/>
      <c r="GV198" s="3"/>
      <c r="GW198" s="3"/>
      <c r="GX198" s="3">
        <v>0</v>
      </c>
    </row>
    <row r="200" spans="1:206" x14ac:dyDescent="0.2">
      <c r="A200" s="4">
        <v>50</v>
      </c>
      <c r="B200" s="4">
        <v>0</v>
      </c>
      <c r="C200" s="4">
        <v>0</v>
      </c>
      <c r="D200" s="4">
        <v>1</v>
      </c>
      <c r="E200" s="4">
        <v>201</v>
      </c>
      <c r="F200" s="4">
        <f>ROUND(Source!O198,O200)</f>
        <v>368178.05</v>
      </c>
      <c r="G200" s="4" t="s">
        <v>163</v>
      </c>
      <c r="H200" s="4" t="s">
        <v>164</v>
      </c>
      <c r="I200" s="4"/>
      <c r="J200" s="4"/>
      <c r="K200" s="4">
        <v>201</v>
      </c>
      <c r="L200" s="4">
        <v>1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/>
    </row>
    <row r="201" spans="1:206" x14ac:dyDescent="0.2">
      <c r="A201" s="4">
        <v>50</v>
      </c>
      <c r="B201" s="4">
        <v>0</v>
      </c>
      <c r="C201" s="4">
        <v>0</v>
      </c>
      <c r="D201" s="4">
        <v>1</v>
      </c>
      <c r="E201" s="4">
        <v>202</v>
      </c>
      <c r="F201" s="4">
        <f>ROUND(Source!P198,O201)</f>
        <v>313825.78000000003</v>
      </c>
      <c r="G201" s="4" t="s">
        <v>165</v>
      </c>
      <c r="H201" s="4" t="s">
        <v>166</v>
      </c>
      <c r="I201" s="4"/>
      <c r="J201" s="4"/>
      <c r="K201" s="4">
        <v>202</v>
      </c>
      <c r="L201" s="4">
        <v>2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/>
    </row>
    <row r="202" spans="1:206" x14ac:dyDescent="0.2">
      <c r="A202" s="4">
        <v>50</v>
      </c>
      <c r="B202" s="4">
        <v>0</v>
      </c>
      <c r="C202" s="4">
        <v>0</v>
      </c>
      <c r="D202" s="4">
        <v>1</v>
      </c>
      <c r="E202" s="4">
        <v>222</v>
      </c>
      <c r="F202" s="4">
        <f>ROUND(Source!AO198,O202)</f>
        <v>154585.5</v>
      </c>
      <c r="G202" s="4" t="s">
        <v>167</v>
      </c>
      <c r="H202" s="4" t="s">
        <v>168</v>
      </c>
      <c r="I202" s="4"/>
      <c r="J202" s="4"/>
      <c r="K202" s="4">
        <v>222</v>
      </c>
      <c r="L202" s="4">
        <v>3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/>
    </row>
    <row r="203" spans="1:206" x14ac:dyDescent="0.2">
      <c r="A203" s="4">
        <v>50</v>
      </c>
      <c r="B203" s="4">
        <v>0</v>
      </c>
      <c r="C203" s="4">
        <v>0</v>
      </c>
      <c r="D203" s="4">
        <v>1</v>
      </c>
      <c r="E203" s="4">
        <v>225</v>
      </c>
      <c r="F203" s="4">
        <f>ROUND(Source!AV198,O203)</f>
        <v>159240.28</v>
      </c>
      <c r="G203" s="4" t="s">
        <v>169</v>
      </c>
      <c r="H203" s="4" t="s">
        <v>170</v>
      </c>
      <c r="I203" s="4"/>
      <c r="J203" s="4"/>
      <c r="K203" s="4">
        <v>225</v>
      </c>
      <c r="L203" s="4">
        <v>4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/>
    </row>
    <row r="204" spans="1:206" x14ac:dyDescent="0.2">
      <c r="A204" s="4">
        <v>50</v>
      </c>
      <c r="B204" s="4">
        <v>0</v>
      </c>
      <c r="C204" s="4">
        <v>0</v>
      </c>
      <c r="D204" s="4">
        <v>1</v>
      </c>
      <c r="E204" s="4">
        <v>226</v>
      </c>
      <c r="F204" s="4">
        <f>ROUND(Source!AW198,O204)</f>
        <v>313825.78000000003</v>
      </c>
      <c r="G204" s="4" t="s">
        <v>171</v>
      </c>
      <c r="H204" s="4" t="s">
        <v>172</v>
      </c>
      <c r="I204" s="4"/>
      <c r="J204" s="4"/>
      <c r="K204" s="4">
        <v>226</v>
      </c>
      <c r="L204" s="4">
        <v>5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/>
    </row>
    <row r="205" spans="1:206" x14ac:dyDescent="0.2">
      <c r="A205" s="4">
        <v>50</v>
      </c>
      <c r="B205" s="4">
        <v>0</v>
      </c>
      <c r="C205" s="4">
        <v>0</v>
      </c>
      <c r="D205" s="4">
        <v>1</v>
      </c>
      <c r="E205" s="4">
        <v>227</v>
      </c>
      <c r="F205" s="4">
        <f>ROUND(Source!AX198,O205)</f>
        <v>154585.5</v>
      </c>
      <c r="G205" s="4" t="s">
        <v>173</v>
      </c>
      <c r="H205" s="4" t="s">
        <v>174</v>
      </c>
      <c r="I205" s="4"/>
      <c r="J205" s="4"/>
      <c r="K205" s="4">
        <v>227</v>
      </c>
      <c r="L205" s="4">
        <v>6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/>
    </row>
    <row r="206" spans="1:206" x14ac:dyDescent="0.2">
      <c r="A206" s="4">
        <v>50</v>
      </c>
      <c r="B206" s="4">
        <v>0</v>
      </c>
      <c r="C206" s="4">
        <v>0</v>
      </c>
      <c r="D206" s="4">
        <v>1</v>
      </c>
      <c r="E206" s="4">
        <v>228</v>
      </c>
      <c r="F206" s="4">
        <f>ROUND(Source!AY198,O206)</f>
        <v>159240.28</v>
      </c>
      <c r="G206" s="4" t="s">
        <v>175</v>
      </c>
      <c r="H206" s="4" t="s">
        <v>176</v>
      </c>
      <c r="I206" s="4"/>
      <c r="J206" s="4"/>
      <c r="K206" s="4">
        <v>228</v>
      </c>
      <c r="L206" s="4">
        <v>7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/>
    </row>
    <row r="207" spans="1:206" x14ac:dyDescent="0.2">
      <c r="A207" s="4">
        <v>50</v>
      </c>
      <c r="B207" s="4">
        <v>0</v>
      </c>
      <c r="C207" s="4">
        <v>0</v>
      </c>
      <c r="D207" s="4">
        <v>1</v>
      </c>
      <c r="E207" s="4">
        <v>216</v>
      </c>
      <c r="F207" s="4">
        <f>ROUND(Source!AP198,O207)</f>
        <v>0</v>
      </c>
      <c r="G207" s="4" t="s">
        <v>177</v>
      </c>
      <c r="H207" s="4" t="s">
        <v>178</v>
      </c>
      <c r="I207" s="4"/>
      <c r="J207" s="4"/>
      <c r="K207" s="4">
        <v>216</v>
      </c>
      <c r="L207" s="4">
        <v>8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/>
    </row>
    <row r="208" spans="1:206" x14ac:dyDescent="0.2">
      <c r="A208" s="4">
        <v>50</v>
      </c>
      <c r="B208" s="4">
        <v>0</v>
      </c>
      <c r="C208" s="4">
        <v>0</v>
      </c>
      <c r="D208" s="4">
        <v>1</v>
      </c>
      <c r="E208" s="4">
        <v>223</v>
      </c>
      <c r="F208" s="4">
        <f>ROUND(Source!AQ198,O208)</f>
        <v>0</v>
      </c>
      <c r="G208" s="4" t="s">
        <v>179</v>
      </c>
      <c r="H208" s="4" t="s">
        <v>180</v>
      </c>
      <c r="I208" s="4"/>
      <c r="J208" s="4"/>
      <c r="K208" s="4">
        <v>223</v>
      </c>
      <c r="L208" s="4">
        <v>9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/>
    </row>
    <row r="209" spans="1:23" x14ac:dyDescent="0.2">
      <c r="A209" s="4">
        <v>50</v>
      </c>
      <c r="B209" s="4">
        <v>0</v>
      </c>
      <c r="C209" s="4">
        <v>0</v>
      </c>
      <c r="D209" s="4">
        <v>1</v>
      </c>
      <c r="E209" s="4">
        <v>229</v>
      </c>
      <c r="F209" s="4">
        <f>ROUND(Source!AZ198,O209)</f>
        <v>0</v>
      </c>
      <c r="G209" s="4" t="s">
        <v>181</v>
      </c>
      <c r="H209" s="4" t="s">
        <v>182</v>
      </c>
      <c r="I209" s="4"/>
      <c r="J209" s="4"/>
      <c r="K209" s="4">
        <v>229</v>
      </c>
      <c r="L209" s="4">
        <v>10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/>
    </row>
    <row r="210" spans="1:23" x14ac:dyDescent="0.2">
      <c r="A210" s="4">
        <v>50</v>
      </c>
      <c r="B210" s="4">
        <v>0</v>
      </c>
      <c r="C210" s="4">
        <v>0</v>
      </c>
      <c r="D210" s="4">
        <v>1</v>
      </c>
      <c r="E210" s="4">
        <v>203</v>
      </c>
      <c r="F210" s="4">
        <f>ROUND(Source!Q198,O210)</f>
        <v>19683.72</v>
      </c>
      <c r="G210" s="4" t="s">
        <v>183</v>
      </c>
      <c r="H210" s="4" t="s">
        <v>184</v>
      </c>
      <c r="I210" s="4"/>
      <c r="J210" s="4"/>
      <c r="K210" s="4">
        <v>203</v>
      </c>
      <c r="L210" s="4">
        <v>11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/>
    </row>
    <row r="211" spans="1:23" x14ac:dyDescent="0.2">
      <c r="A211" s="4">
        <v>50</v>
      </c>
      <c r="B211" s="4">
        <v>0</v>
      </c>
      <c r="C211" s="4">
        <v>0</v>
      </c>
      <c r="D211" s="4">
        <v>1</v>
      </c>
      <c r="E211" s="4">
        <v>231</v>
      </c>
      <c r="F211" s="4">
        <f>ROUND(Source!BB198,O211)</f>
        <v>0</v>
      </c>
      <c r="G211" s="4" t="s">
        <v>185</v>
      </c>
      <c r="H211" s="4" t="s">
        <v>186</v>
      </c>
      <c r="I211" s="4"/>
      <c r="J211" s="4"/>
      <c r="K211" s="4">
        <v>231</v>
      </c>
      <c r="L211" s="4">
        <v>12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/>
    </row>
    <row r="212" spans="1:23" x14ac:dyDescent="0.2">
      <c r="A212" s="4">
        <v>50</v>
      </c>
      <c r="B212" s="4">
        <v>0</v>
      </c>
      <c r="C212" s="4">
        <v>0</v>
      </c>
      <c r="D212" s="4">
        <v>1</v>
      </c>
      <c r="E212" s="4">
        <v>204</v>
      </c>
      <c r="F212" s="4">
        <f>ROUND(Source!R198,O212)</f>
        <v>7363.8</v>
      </c>
      <c r="G212" s="4" t="s">
        <v>187</v>
      </c>
      <c r="H212" s="4" t="s">
        <v>188</v>
      </c>
      <c r="I212" s="4"/>
      <c r="J212" s="4"/>
      <c r="K212" s="4">
        <v>204</v>
      </c>
      <c r="L212" s="4">
        <v>13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/>
    </row>
    <row r="213" spans="1:23" x14ac:dyDescent="0.2">
      <c r="A213" s="4">
        <v>50</v>
      </c>
      <c r="B213" s="4">
        <v>0</v>
      </c>
      <c r="C213" s="4">
        <v>0</v>
      </c>
      <c r="D213" s="4">
        <v>1</v>
      </c>
      <c r="E213" s="4">
        <v>205</v>
      </c>
      <c r="F213" s="4">
        <f>ROUND(Source!S198,O213)</f>
        <v>34668.550000000003</v>
      </c>
      <c r="G213" s="4" t="s">
        <v>189</v>
      </c>
      <c r="H213" s="4" t="s">
        <v>190</v>
      </c>
      <c r="I213" s="4"/>
      <c r="J213" s="4"/>
      <c r="K213" s="4">
        <v>205</v>
      </c>
      <c r="L213" s="4">
        <v>14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/>
    </row>
    <row r="214" spans="1:23" x14ac:dyDescent="0.2">
      <c r="A214" s="4">
        <v>50</v>
      </c>
      <c r="B214" s="4">
        <v>0</v>
      </c>
      <c r="C214" s="4">
        <v>0</v>
      </c>
      <c r="D214" s="4">
        <v>1</v>
      </c>
      <c r="E214" s="4">
        <v>232</v>
      </c>
      <c r="F214" s="4">
        <f>ROUND(Source!BC198,O214)</f>
        <v>0</v>
      </c>
      <c r="G214" s="4" t="s">
        <v>191</v>
      </c>
      <c r="H214" s="4" t="s">
        <v>192</v>
      </c>
      <c r="I214" s="4"/>
      <c r="J214" s="4"/>
      <c r="K214" s="4">
        <v>232</v>
      </c>
      <c r="L214" s="4">
        <v>15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/>
    </row>
    <row r="215" spans="1:23" x14ac:dyDescent="0.2">
      <c r="A215" s="4">
        <v>50</v>
      </c>
      <c r="B215" s="4">
        <v>0</v>
      </c>
      <c r="C215" s="4">
        <v>0</v>
      </c>
      <c r="D215" s="4">
        <v>1</v>
      </c>
      <c r="E215" s="4">
        <v>214</v>
      </c>
      <c r="F215" s="4">
        <f>ROUND(Source!AS198,O215)</f>
        <v>245001.86</v>
      </c>
      <c r="G215" s="4" t="s">
        <v>193</v>
      </c>
      <c r="H215" s="4" t="s">
        <v>194</v>
      </c>
      <c r="I215" s="4"/>
      <c r="J215" s="4"/>
      <c r="K215" s="4">
        <v>214</v>
      </c>
      <c r="L215" s="4">
        <v>16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/>
    </row>
    <row r="216" spans="1:23" x14ac:dyDescent="0.2">
      <c r="A216" s="4">
        <v>50</v>
      </c>
      <c r="B216" s="4">
        <v>0</v>
      </c>
      <c r="C216" s="4">
        <v>0</v>
      </c>
      <c r="D216" s="4">
        <v>1</v>
      </c>
      <c r="E216" s="4">
        <v>215</v>
      </c>
      <c r="F216" s="4">
        <f>ROUND(Source!AT198,O216)</f>
        <v>192257.73</v>
      </c>
      <c r="G216" s="4" t="s">
        <v>195</v>
      </c>
      <c r="H216" s="4" t="s">
        <v>196</v>
      </c>
      <c r="I216" s="4"/>
      <c r="J216" s="4"/>
      <c r="K216" s="4">
        <v>215</v>
      </c>
      <c r="L216" s="4">
        <v>17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/>
    </row>
    <row r="217" spans="1:23" x14ac:dyDescent="0.2">
      <c r="A217" s="4">
        <v>50</v>
      </c>
      <c r="B217" s="4">
        <v>0</v>
      </c>
      <c r="C217" s="4">
        <v>0</v>
      </c>
      <c r="D217" s="4">
        <v>1</v>
      </c>
      <c r="E217" s="4">
        <v>217</v>
      </c>
      <c r="F217" s="4">
        <f>ROUND(Source!AU198,O217)</f>
        <v>3271.08</v>
      </c>
      <c r="G217" s="4" t="s">
        <v>197</v>
      </c>
      <c r="H217" s="4" t="s">
        <v>198</v>
      </c>
      <c r="I217" s="4"/>
      <c r="J217" s="4"/>
      <c r="K217" s="4">
        <v>217</v>
      </c>
      <c r="L217" s="4">
        <v>18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/>
    </row>
    <row r="218" spans="1:23" x14ac:dyDescent="0.2">
      <c r="A218" s="4">
        <v>50</v>
      </c>
      <c r="B218" s="4">
        <v>0</v>
      </c>
      <c r="C218" s="4">
        <v>0</v>
      </c>
      <c r="D218" s="4">
        <v>1</v>
      </c>
      <c r="E218" s="4">
        <v>230</v>
      </c>
      <c r="F218" s="4">
        <f>ROUND(Source!BA198,O218)</f>
        <v>0</v>
      </c>
      <c r="G218" s="4" t="s">
        <v>199</v>
      </c>
      <c r="H218" s="4" t="s">
        <v>200</v>
      </c>
      <c r="I218" s="4"/>
      <c r="J218" s="4"/>
      <c r="K218" s="4">
        <v>230</v>
      </c>
      <c r="L218" s="4">
        <v>19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/>
    </row>
    <row r="219" spans="1:23" x14ac:dyDescent="0.2">
      <c r="A219" s="4">
        <v>50</v>
      </c>
      <c r="B219" s="4">
        <v>0</v>
      </c>
      <c r="C219" s="4">
        <v>0</v>
      </c>
      <c r="D219" s="4">
        <v>1</v>
      </c>
      <c r="E219" s="4">
        <v>206</v>
      </c>
      <c r="F219" s="4">
        <f>ROUND(Source!T198,O219)</f>
        <v>0</v>
      </c>
      <c r="G219" s="4" t="s">
        <v>201</v>
      </c>
      <c r="H219" s="4" t="s">
        <v>202</v>
      </c>
      <c r="I219" s="4"/>
      <c r="J219" s="4"/>
      <c r="K219" s="4">
        <v>206</v>
      </c>
      <c r="L219" s="4">
        <v>20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/>
    </row>
    <row r="220" spans="1:23" x14ac:dyDescent="0.2">
      <c r="A220" s="4">
        <v>50</v>
      </c>
      <c r="B220" s="4">
        <v>0</v>
      </c>
      <c r="C220" s="4">
        <v>0</v>
      </c>
      <c r="D220" s="4">
        <v>1</v>
      </c>
      <c r="E220" s="4">
        <v>207</v>
      </c>
      <c r="F220" s="4">
        <f>Source!U198</f>
        <v>154.60589280000002</v>
      </c>
      <c r="G220" s="4" t="s">
        <v>203</v>
      </c>
      <c r="H220" s="4" t="s">
        <v>204</v>
      </c>
      <c r="I220" s="4"/>
      <c r="J220" s="4"/>
      <c r="K220" s="4">
        <v>207</v>
      </c>
      <c r="L220" s="4">
        <v>21</v>
      </c>
      <c r="M220" s="4">
        <v>3</v>
      </c>
      <c r="N220" s="4" t="s">
        <v>3</v>
      </c>
      <c r="O220" s="4">
        <v>-1</v>
      </c>
      <c r="P220" s="4"/>
      <c r="Q220" s="4"/>
      <c r="R220" s="4"/>
      <c r="S220" s="4"/>
      <c r="T220" s="4"/>
      <c r="U220" s="4"/>
      <c r="V220" s="4"/>
      <c r="W220" s="4"/>
    </row>
    <row r="221" spans="1:23" x14ac:dyDescent="0.2">
      <c r="A221" s="4">
        <v>50</v>
      </c>
      <c r="B221" s="4">
        <v>0</v>
      </c>
      <c r="C221" s="4">
        <v>0</v>
      </c>
      <c r="D221" s="4">
        <v>1</v>
      </c>
      <c r="E221" s="4">
        <v>208</v>
      </c>
      <c r="F221" s="4">
        <f>Source!V198</f>
        <v>22.416739199999999</v>
      </c>
      <c r="G221" s="4" t="s">
        <v>205</v>
      </c>
      <c r="H221" s="4" t="s">
        <v>206</v>
      </c>
      <c r="I221" s="4"/>
      <c r="J221" s="4"/>
      <c r="K221" s="4">
        <v>208</v>
      </c>
      <c r="L221" s="4">
        <v>22</v>
      </c>
      <c r="M221" s="4">
        <v>3</v>
      </c>
      <c r="N221" s="4" t="s">
        <v>3</v>
      </c>
      <c r="O221" s="4">
        <v>-1</v>
      </c>
      <c r="P221" s="4"/>
      <c r="Q221" s="4"/>
      <c r="R221" s="4"/>
      <c r="S221" s="4"/>
      <c r="T221" s="4"/>
      <c r="U221" s="4"/>
      <c r="V221" s="4"/>
      <c r="W221" s="4"/>
    </row>
    <row r="222" spans="1:23" x14ac:dyDescent="0.2">
      <c r="A222" s="4">
        <v>50</v>
      </c>
      <c r="B222" s="4">
        <v>0</v>
      </c>
      <c r="C222" s="4">
        <v>0</v>
      </c>
      <c r="D222" s="4">
        <v>1</v>
      </c>
      <c r="E222" s="4">
        <v>209</v>
      </c>
      <c r="F222" s="4">
        <f>ROUND(Source!W198,O222)</f>
        <v>0</v>
      </c>
      <c r="G222" s="4" t="s">
        <v>207</v>
      </c>
      <c r="H222" s="4" t="s">
        <v>208</v>
      </c>
      <c r="I222" s="4"/>
      <c r="J222" s="4"/>
      <c r="K222" s="4">
        <v>209</v>
      </c>
      <c r="L222" s="4">
        <v>23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/>
    </row>
    <row r="223" spans="1:23" x14ac:dyDescent="0.2">
      <c r="A223" s="4">
        <v>50</v>
      </c>
      <c r="B223" s="4">
        <v>0</v>
      </c>
      <c r="C223" s="4">
        <v>0</v>
      </c>
      <c r="D223" s="4">
        <v>1</v>
      </c>
      <c r="E223" s="4">
        <v>210</v>
      </c>
      <c r="F223" s="4">
        <f>ROUND(Source!X198,O223)</f>
        <v>37943.629999999997</v>
      </c>
      <c r="G223" s="4" t="s">
        <v>209</v>
      </c>
      <c r="H223" s="4" t="s">
        <v>210</v>
      </c>
      <c r="I223" s="4"/>
      <c r="J223" s="4"/>
      <c r="K223" s="4">
        <v>210</v>
      </c>
      <c r="L223" s="4">
        <v>24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/>
    </row>
    <row r="224" spans="1:23" x14ac:dyDescent="0.2">
      <c r="A224" s="4">
        <v>50</v>
      </c>
      <c r="B224" s="4">
        <v>0</v>
      </c>
      <c r="C224" s="4">
        <v>0</v>
      </c>
      <c r="D224" s="4">
        <v>1</v>
      </c>
      <c r="E224" s="4">
        <v>211</v>
      </c>
      <c r="F224" s="4">
        <f>ROUND(Source!Y198,O224)</f>
        <v>23905.7</v>
      </c>
      <c r="G224" s="4" t="s">
        <v>211</v>
      </c>
      <c r="H224" s="4" t="s">
        <v>212</v>
      </c>
      <c r="I224" s="4"/>
      <c r="J224" s="4"/>
      <c r="K224" s="4">
        <v>211</v>
      </c>
      <c r="L224" s="4">
        <v>25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/>
    </row>
    <row r="225" spans="1:23" x14ac:dyDescent="0.2">
      <c r="A225" s="4">
        <v>50</v>
      </c>
      <c r="B225" s="4">
        <v>0</v>
      </c>
      <c r="C225" s="4">
        <v>0</v>
      </c>
      <c r="D225" s="4">
        <v>1</v>
      </c>
      <c r="E225" s="4">
        <v>224</v>
      </c>
      <c r="F225" s="4">
        <f>ROUND(Source!AR198,O225)</f>
        <v>440530.67</v>
      </c>
      <c r="G225" s="4" t="s">
        <v>213</v>
      </c>
      <c r="H225" s="4" t="s">
        <v>214</v>
      </c>
      <c r="I225" s="4"/>
      <c r="J225" s="4"/>
      <c r="K225" s="4">
        <v>224</v>
      </c>
      <c r="L225" s="4">
        <v>26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/>
    </row>
    <row r="228" spans="1:23" x14ac:dyDescent="0.2">
      <c r="A228">
        <v>70</v>
      </c>
      <c r="B228">
        <v>1</v>
      </c>
      <c r="D228">
        <v>1</v>
      </c>
      <c r="E228" t="s">
        <v>277</v>
      </c>
      <c r="F228" t="s">
        <v>278</v>
      </c>
      <c r="G228">
        <v>1</v>
      </c>
      <c r="H228">
        <v>0</v>
      </c>
      <c r="I228" t="s">
        <v>3</v>
      </c>
      <c r="J228">
        <v>1</v>
      </c>
      <c r="K228">
        <v>0</v>
      </c>
      <c r="L228" t="s">
        <v>3</v>
      </c>
      <c r="M228" t="s">
        <v>3</v>
      </c>
      <c r="N228">
        <v>0</v>
      </c>
    </row>
    <row r="229" spans="1:23" x14ac:dyDescent="0.2">
      <c r="A229">
        <v>70</v>
      </c>
      <c r="B229">
        <v>1</v>
      </c>
      <c r="D229">
        <v>2</v>
      </c>
      <c r="E229" t="s">
        <v>279</v>
      </c>
      <c r="F229" t="s">
        <v>280</v>
      </c>
      <c r="G229">
        <v>0</v>
      </c>
      <c r="H229">
        <v>0</v>
      </c>
      <c r="I229" t="s">
        <v>3</v>
      </c>
      <c r="J229">
        <v>1</v>
      </c>
      <c r="K229">
        <v>0</v>
      </c>
      <c r="L229" t="s">
        <v>3</v>
      </c>
      <c r="M229" t="s">
        <v>3</v>
      </c>
      <c r="N229">
        <v>0</v>
      </c>
    </row>
    <row r="230" spans="1:23" x14ac:dyDescent="0.2">
      <c r="A230">
        <v>70</v>
      </c>
      <c r="B230">
        <v>1</v>
      </c>
      <c r="D230">
        <v>3</v>
      </c>
      <c r="E230" t="s">
        <v>281</v>
      </c>
      <c r="F230" t="s">
        <v>282</v>
      </c>
      <c r="G230">
        <v>0</v>
      </c>
      <c r="H230">
        <v>0</v>
      </c>
      <c r="I230" t="s">
        <v>3</v>
      </c>
      <c r="J230">
        <v>1</v>
      </c>
      <c r="K230">
        <v>0</v>
      </c>
      <c r="L230" t="s">
        <v>3</v>
      </c>
      <c r="M230" t="s">
        <v>3</v>
      </c>
      <c r="N230">
        <v>0</v>
      </c>
    </row>
    <row r="231" spans="1:23" x14ac:dyDescent="0.2">
      <c r="A231">
        <v>70</v>
      </c>
      <c r="B231">
        <v>1</v>
      </c>
      <c r="D231">
        <v>4</v>
      </c>
      <c r="E231" t="s">
        <v>283</v>
      </c>
      <c r="F231" t="s">
        <v>284</v>
      </c>
      <c r="G231">
        <v>0</v>
      </c>
      <c r="H231">
        <v>0</v>
      </c>
      <c r="I231" t="s">
        <v>285</v>
      </c>
      <c r="J231">
        <v>0</v>
      </c>
      <c r="K231">
        <v>0</v>
      </c>
      <c r="L231" t="s">
        <v>3</v>
      </c>
      <c r="M231" t="s">
        <v>3</v>
      </c>
      <c r="N231">
        <v>0</v>
      </c>
    </row>
    <row r="232" spans="1:23" x14ac:dyDescent="0.2">
      <c r="A232">
        <v>70</v>
      </c>
      <c r="B232">
        <v>1</v>
      </c>
      <c r="D232">
        <v>5</v>
      </c>
      <c r="E232" t="s">
        <v>286</v>
      </c>
      <c r="F232" t="s">
        <v>287</v>
      </c>
      <c r="G232">
        <v>0</v>
      </c>
      <c r="H232">
        <v>0</v>
      </c>
      <c r="I232" t="s">
        <v>288</v>
      </c>
      <c r="J232">
        <v>0</v>
      </c>
      <c r="K232">
        <v>0</v>
      </c>
      <c r="L232" t="s">
        <v>3</v>
      </c>
      <c r="M232" t="s">
        <v>3</v>
      </c>
      <c r="N232">
        <v>0</v>
      </c>
    </row>
    <row r="233" spans="1:23" x14ac:dyDescent="0.2">
      <c r="A233">
        <v>70</v>
      </c>
      <c r="B233">
        <v>1</v>
      </c>
      <c r="D233">
        <v>6</v>
      </c>
      <c r="E233" t="s">
        <v>289</v>
      </c>
      <c r="F233" t="s">
        <v>290</v>
      </c>
      <c r="G233">
        <v>0</v>
      </c>
      <c r="H233">
        <v>0</v>
      </c>
      <c r="I233" t="s">
        <v>291</v>
      </c>
      <c r="J233">
        <v>0</v>
      </c>
      <c r="K233">
        <v>0</v>
      </c>
      <c r="L233" t="s">
        <v>3</v>
      </c>
      <c r="M233" t="s">
        <v>3</v>
      </c>
      <c r="N233">
        <v>0</v>
      </c>
    </row>
    <row r="234" spans="1:23" x14ac:dyDescent="0.2">
      <c r="A234">
        <v>70</v>
      </c>
      <c r="B234">
        <v>1</v>
      </c>
      <c r="D234">
        <v>7</v>
      </c>
      <c r="E234" t="s">
        <v>292</v>
      </c>
      <c r="F234" t="s">
        <v>293</v>
      </c>
      <c r="G234">
        <v>0</v>
      </c>
      <c r="H234">
        <v>0</v>
      </c>
      <c r="I234" t="s">
        <v>3</v>
      </c>
      <c r="J234">
        <v>0</v>
      </c>
      <c r="K234">
        <v>0</v>
      </c>
      <c r="L234" t="s">
        <v>3</v>
      </c>
      <c r="M234" t="s">
        <v>3</v>
      </c>
      <c r="N234">
        <v>0</v>
      </c>
    </row>
    <row r="235" spans="1:23" x14ac:dyDescent="0.2">
      <c r="A235">
        <v>70</v>
      </c>
      <c r="B235">
        <v>1</v>
      </c>
      <c r="D235">
        <v>8</v>
      </c>
      <c r="E235" t="s">
        <v>294</v>
      </c>
      <c r="F235" t="s">
        <v>295</v>
      </c>
      <c r="G235">
        <v>0</v>
      </c>
      <c r="H235">
        <v>0</v>
      </c>
      <c r="I235" t="s">
        <v>296</v>
      </c>
      <c r="J235">
        <v>0</v>
      </c>
      <c r="K235">
        <v>0</v>
      </c>
      <c r="L235" t="s">
        <v>3</v>
      </c>
      <c r="M235" t="s">
        <v>3</v>
      </c>
      <c r="N235">
        <v>0</v>
      </c>
    </row>
    <row r="236" spans="1:23" x14ac:dyDescent="0.2">
      <c r="A236">
        <v>70</v>
      </c>
      <c r="B236">
        <v>1</v>
      </c>
      <c r="D236">
        <v>9</v>
      </c>
      <c r="E236" t="s">
        <v>297</v>
      </c>
      <c r="F236" t="s">
        <v>298</v>
      </c>
      <c r="G236">
        <v>0</v>
      </c>
      <c r="H236">
        <v>0</v>
      </c>
      <c r="I236" t="s">
        <v>299</v>
      </c>
      <c r="J236">
        <v>0</v>
      </c>
      <c r="K236">
        <v>0</v>
      </c>
      <c r="L236" t="s">
        <v>3</v>
      </c>
      <c r="M236" t="s">
        <v>3</v>
      </c>
      <c r="N236">
        <v>0</v>
      </c>
    </row>
    <row r="237" spans="1:23" x14ac:dyDescent="0.2">
      <c r="A237">
        <v>70</v>
      </c>
      <c r="B237">
        <v>1</v>
      </c>
      <c r="D237">
        <v>10</v>
      </c>
      <c r="E237" t="s">
        <v>300</v>
      </c>
      <c r="F237" t="s">
        <v>301</v>
      </c>
      <c r="G237">
        <v>0</v>
      </c>
      <c r="H237">
        <v>0</v>
      </c>
      <c r="I237" t="s">
        <v>302</v>
      </c>
      <c r="J237">
        <v>0</v>
      </c>
      <c r="K237">
        <v>0</v>
      </c>
      <c r="L237" t="s">
        <v>3</v>
      </c>
      <c r="M237" t="s">
        <v>3</v>
      </c>
      <c r="N237">
        <v>0</v>
      </c>
    </row>
    <row r="238" spans="1:23" x14ac:dyDescent="0.2">
      <c r="A238">
        <v>70</v>
      </c>
      <c r="B238">
        <v>1</v>
      </c>
      <c r="D238">
        <v>11</v>
      </c>
      <c r="E238" t="s">
        <v>303</v>
      </c>
      <c r="F238" t="s">
        <v>304</v>
      </c>
      <c r="G238">
        <v>0</v>
      </c>
      <c r="H238">
        <v>0</v>
      </c>
      <c r="I238" t="s">
        <v>305</v>
      </c>
      <c r="J238">
        <v>0</v>
      </c>
      <c r="K238">
        <v>0</v>
      </c>
      <c r="L238" t="s">
        <v>3</v>
      </c>
      <c r="M238" t="s">
        <v>3</v>
      </c>
      <c r="N238">
        <v>0</v>
      </c>
    </row>
    <row r="239" spans="1:23" x14ac:dyDescent="0.2">
      <c r="A239">
        <v>70</v>
      </c>
      <c r="B239">
        <v>1</v>
      </c>
      <c r="D239">
        <v>12</v>
      </c>
      <c r="E239" t="s">
        <v>306</v>
      </c>
      <c r="F239" t="s">
        <v>307</v>
      </c>
      <c r="G239">
        <v>0</v>
      </c>
      <c r="H239">
        <v>0</v>
      </c>
      <c r="I239" t="s">
        <v>3</v>
      </c>
      <c r="J239">
        <v>0</v>
      </c>
      <c r="K239">
        <v>0</v>
      </c>
      <c r="L239" t="s">
        <v>3</v>
      </c>
      <c r="M239" t="s">
        <v>3</v>
      </c>
      <c r="N239">
        <v>0</v>
      </c>
    </row>
    <row r="240" spans="1:23" x14ac:dyDescent="0.2">
      <c r="A240">
        <v>70</v>
      </c>
      <c r="B240">
        <v>1</v>
      </c>
      <c r="D240">
        <v>1</v>
      </c>
      <c r="E240" t="s">
        <v>308</v>
      </c>
      <c r="F240" t="s">
        <v>309</v>
      </c>
      <c r="G240">
        <v>0.9</v>
      </c>
      <c r="H240">
        <v>1</v>
      </c>
      <c r="I240" t="s">
        <v>310</v>
      </c>
      <c r="J240">
        <v>0</v>
      </c>
      <c r="K240">
        <v>0</v>
      </c>
      <c r="L240" t="s">
        <v>3</v>
      </c>
      <c r="M240" t="s">
        <v>3</v>
      </c>
      <c r="N240">
        <v>0</v>
      </c>
    </row>
    <row r="241" spans="1:15" x14ac:dyDescent="0.2">
      <c r="A241">
        <v>70</v>
      </c>
      <c r="B241">
        <v>1</v>
      </c>
      <c r="D241">
        <v>2</v>
      </c>
      <c r="E241" t="s">
        <v>311</v>
      </c>
      <c r="F241" t="s">
        <v>312</v>
      </c>
      <c r="G241">
        <v>0.85</v>
      </c>
      <c r="H241">
        <v>1</v>
      </c>
      <c r="I241" t="s">
        <v>313</v>
      </c>
      <c r="J241">
        <v>0</v>
      </c>
      <c r="K241">
        <v>0</v>
      </c>
      <c r="L241" t="s">
        <v>3</v>
      </c>
      <c r="M241" t="s">
        <v>3</v>
      </c>
      <c r="N241">
        <v>0</v>
      </c>
    </row>
    <row r="242" spans="1:15" x14ac:dyDescent="0.2">
      <c r="A242">
        <v>70</v>
      </c>
      <c r="B242">
        <v>1</v>
      </c>
      <c r="D242">
        <v>3</v>
      </c>
      <c r="E242" t="s">
        <v>314</v>
      </c>
      <c r="F242" t="s">
        <v>315</v>
      </c>
      <c r="G242">
        <v>1</v>
      </c>
      <c r="H242">
        <v>0.85</v>
      </c>
      <c r="I242" t="s">
        <v>316</v>
      </c>
      <c r="J242">
        <v>0</v>
      </c>
      <c r="K242">
        <v>0</v>
      </c>
      <c r="L242" t="s">
        <v>3</v>
      </c>
      <c r="M242" t="s">
        <v>3</v>
      </c>
      <c r="N242">
        <v>0</v>
      </c>
    </row>
    <row r="243" spans="1:15" x14ac:dyDescent="0.2">
      <c r="A243">
        <v>70</v>
      </c>
      <c r="B243">
        <v>1</v>
      </c>
      <c r="D243">
        <v>4</v>
      </c>
      <c r="E243" t="s">
        <v>317</v>
      </c>
      <c r="F243" t="s">
        <v>318</v>
      </c>
      <c r="G243">
        <v>1</v>
      </c>
      <c r="H243">
        <v>0</v>
      </c>
      <c r="I243" t="s">
        <v>3</v>
      </c>
      <c r="J243">
        <v>0</v>
      </c>
      <c r="K243">
        <v>0</v>
      </c>
      <c r="L243" t="s">
        <v>3</v>
      </c>
      <c r="M243" t="s">
        <v>3</v>
      </c>
      <c r="N243">
        <v>0</v>
      </c>
    </row>
    <row r="244" spans="1:15" x14ac:dyDescent="0.2">
      <c r="A244">
        <v>70</v>
      </c>
      <c r="B244">
        <v>1</v>
      </c>
      <c r="D244">
        <v>5</v>
      </c>
      <c r="E244" t="s">
        <v>319</v>
      </c>
      <c r="F244" t="s">
        <v>320</v>
      </c>
      <c r="G244">
        <v>1</v>
      </c>
      <c r="H244">
        <v>0.8</v>
      </c>
      <c r="I244" t="s">
        <v>321</v>
      </c>
      <c r="J244">
        <v>0</v>
      </c>
      <c r="K244">
        <v>0</v>
      </c>
      <c r="L244" t="s">
        <v>3</v>
      </c>
      <c r="M244" t="s">
        <v>3</v>
      </c>
      <c r="N244">
        <v>0</v>
      </c>
    </row>
    <row r="245" spans="1:15" x14ac:dyDescent="0.2">
      <c r="A245">
        <v>70</v>
      </c>
      <c r="B245">
        <v>1</v>
      </c>
      <c r="D245">
        <v>6</v>
      </c>
      <c r="E245" t="s">
        <v>322</v>
      </c>
      <c r="F245" t="s">
        <v>323</v>
      </c>
      <c r="G245">
        <v>0.85</v>
      </c>
      <c r="H245">
        <v>0</v>
      </c>
      <c r="I245" t="s">
        <v>3</v>
      </c>
      <c r="J245">
        <v>0</v>
      </c>
      <c r="K245">
        <v>0</v>
      </c>
      <c r="L245" t="s">
        <v>3</v>
      </c>
      <c r="M245" t="s">
        <v>3</v>
      </c>
      <c r="N245">
        <v>0</v>
      </c>
    </row>
    <row r="246" spans="1:15" x14ac:dyDescent="0.2">
      <c r="A246">
        <v>70</v>
      </c>
      <c r="B246">
        <v>1</v>
      </c>
      <c r="D246">
        <v>7</v>
      </c>
      <c r="E246" t="s">
        <v>324</v>
      </c>
      <c r="F246" t="s">
        <v>325</v>
      </c>
      <c r="G246">
        <v>0.8</v>
      </c>
      <c r="H246">
        <v>0</v>
      </c>
      <c r="I246" t="s">
        <v>3</v>
      </c>
      <c r="J246">
        <v>0</v>
      </c>
      <c r="K246">
        <v>0</v>
      </c>
      <c r="L246" t="s">
        <v>3</v>
      </c>
      <c r="M246" t="s">
        <v>3</v>
      </c>
      <c r="N246">
        <v>0</v>
      </c>
    </row>
    <row r="247" spans="1:15" x14ac:dyDescent="0.2">
      <c r="A247">
        <v>70</v>
      </c>
      <c r="B247">
        <v>1</v>
      </c>
      <c r="D247">
        <v>8</v>
      </c>
      <c r="E247" t="s">
        <v>326</v>
      </c>
      <c r="F247" t="s">
        <v>327</v>
      </c>
      <c r="G247">
        <v>0.94</v>
      </c>
      <c r="H247">
        <v>0</v>
      </c>
      <c r="I247" t="s">
        <v>3</v>
      </c>
      <c r="J247">
        <v>0</v>
      </c>
      <c r="K247">
        <v>0</v>
      </c>
      <c r="L247" t="s">
        <v>3</v>
      </c>
      <c r="M247" t="s">
        <v>3</v>
      </c>
      <c r="N247">
        <v>0</v>
      </c>
    </row>
    <row r="248" spans="1:15" x14ac:dyDescent="0.2">
      <c r="A248">
        <v>70</v>
      </c>
      <c r="B248">
        <v>1</v>
      </c>
      <c r="D248">
        <v>9</v>
      </c>
      <c r="E248" t="s">
        <v>328</v>
      </c>
      <c r="F248" t="s">
        <v>329</v>
      </c>
      <c r="G248">
        <v>0.9</v>
      </c>
      <c r="H248">
        <v>0</v>
      </c>
      <c r="I248" t="s">
        <v>3</v>
      </c>
      <c r="J248">
        <v>0</v>
      </c>
      <c r="K248">
        <v>0</v>
      </c>
      <c r="L248" t="s">
        <v>3</v>
      </c>
      <c r="M248" t="s">
        <v>3</v>
      </c>
      <c r="N248">
        <v>0</v>
      </c>
    </row>
    <row r="249" spans="1:15" x14ac:dyDescent="0.2">
      <c r="A249">
        <v>70</v>
      </c>
      <c r="B249">
        <v>1</v>
      </c>
      <c r="D249">
        <v>10</v>
      </c>
      <c r="E249" t="s">
        <v>330</v>
      </c>
      <c r="F249" t="s">
        <v>331</v>
      </c>
      <c r="G249">
        <v>0.6</v>
      </c>
      <c r="H249">
        <v>0</v>
      </c>
      <c r="I249" t="s">
        <v>3</v>
      </c>
      <c r="J249">
        <v>0</v>
      </c>
      <c r="K249">
        <v>0</v>
      </c>
      <c r="L249" t="s">
        <v>3</v>
      </c>
      <c r="M249" t="s">
        <v>3</v>
      </c>
      <c r="N249">
        <v>0</v>
      </c>
    </row>
    <row r="250" spans="1:15" x14ac:dyDescent="0.2">
      <c r="A250">
        <v>70</v>
      </c>
      <c r="B250">
        <v>1</v>
      </c>
      <c r="D250">
        <v>11</v>
      </c>
      <c r="E250" t="s">
        <v>332</v>
      </c>
      <c r="F250" t="s">
        <v>333</v>
      </c>
      <c r="G250">
        <v>1.2</v>
      </c>
      <c r="H250">
        <v>0</v>
      </c>
      <c r="I250" t="s">
        <v>3</v>
      </c>
      <c r="J250">
        <v>0</v>
      </c>
      <c r="K250">
        <v>0</v>
      </c>
      <c r="L250" t="s">
        <v>3</v>
      </c>
      <c r="M250" t="s">
        <v>3</v>
      </c>
      <c r="N250">
        <v>0</v>
      </c>
    </row>
    <row r="251" spans="1:15" x14ac:dyDescent="0.2">
      <c r="A251">
        <v>70</v>
      </c>
      <c r="B251">
        <v>1</v>
      </c>
      <c r="D251">
        <v>12</v>
      </c>
      <c r="E251" t="s">
        <v>334</v>
      </c>
      <c r="F251" t="s">
        <v>335</v>
      </c>
      <c r="G251">
        <v>0</v>
      </c>
      <c r="H251">
        <v>0</v>
      </c>
      <c r="I251" t="s">
        <v>3</v>
      </c>
      <c r="J251">
        <v>0</v>
      </c>
      <c r="K251">
        <v>0</v>
      </c>
      <c r="L251" t="s">
        <v>3</v>
      </c>
      <c r="M251" t="s">
        <v>3</v>
      </c>
      <c r="N251">
        <v>0</v>
      </c>
    </row>
    <row r="252" spans="1:15" x14ac:dyDescent="0.2">
      <c r="A252">
        <v>70</v>
      </c>
      <c r="B252">
        <v>1</v>
      </c>
      <c r="D252">
        <v>13</v>
      </c>
      <c r="E252" t="s">
        <v>336</v>
      </c>
      <c r="F252" t="s">
        <v>337</v>
      </c>
      <c r="G252">
        <v>0.94</v>
      </c>
      <c r="H252">
        <v>0</v>
      </c>
      <c r="I252" t="s">
        <v>3</v>
      </c>
      <c r="J252">
        <v>0</v>
      </c>
      <c r="K252">
        <v>0</v>
      </c>
      <c r="L252" t="s">
        <v>3</v>
      </c>
      <c r="M252" t="s">
        <v>3</v>
      </c>
      <c r="N252">
        <v>0</v>
      </c>
    </row>
    <row r="254" spans="1:15" x14ac:dyDescent="0.2">
      <c r="A254">
        <v>-1</v>
      </c>
    </row>
    <row r="256" spans="1:15" x14ac:dyDescent="0.2">
      <c r="A256" s="3">
        <v>75</v>
      </c>
      <c r="B256" s="3" t="s">
        <v>338</v>
      </c>
      <c r="C256" s="3">
        <v>2018</v>
      </c>
      <c r="D256" s="3">
        <v>0</v>
      </c>
      <c r="E256" s="3">
        <v>5</v>
      </c>
      <c r="F256" s="3"/>
      <c r="G256" s="3">
        <v>0</v>
      </c>
      <c r="H256" s="3">
        <v>1</v>
      </c>
      <c r="I256" s="3">
        <v>0</v>
      </c>
      <c r="J256" s="3">
        <v>3</v>
      </c>
      <c r="K256" s="3">
        <v>0</v>
      </c>
      <c r="L256" s="3">
        <v>0</v>
      </c>
      <c r="M256" s="3">
        <v>0</v>
      </c>
      <c r="N256" s="3">
        <v>35891596</v>
      </c>
      <c r="O256" s="3">
        <v>1</v>
      </c>
    </row>
    <row r="257" spans="1:27" x14ac:dyDescent="0.2">
      <c r="A257" s="5">
        <v>1</v>
      </c>
      <c r="B257" s="5" t="s">
        <v>339</v>
      </c>
      <c r="C257" s="5" t="s">
        <v>340</v>
      </c>
      <c r="D257" s="5">
        <v>2018</v>
      </c>
      <c r="E257" s="5">
        <v>5</v>
      </c>
      <c r="F257" s="5">
        <v>1</v>
      </c>
      <c r="G257" s="5">
        <v>1</v>
      </c>
      <c r="H257" s="5">
        <v>0</v>
      </c>
      <c r="I257" s="5">
        <v>2</v>
      </c>
      <c r="J257" s="5">
        <v>1</v>
      </c>
      <c r="K257" s="5">
        <v>1</v>
      </c>
      <c r="L257" s="5">
        <v>1</v>
      </c>
      <c r="M257" s="5">
        <v>1</v>
      </c>
      <c r="N257" s="5">
        <v>1</v>
      </c>
      <c r="O257" s="5">
        <v>1</v>
      </c>
      <c r="P257" s="5">
        <v>1</v>
      </c>
      <c r="Q257" s="5">
        <v>1</v>
      </c>
      <c r="R257" s="5" t="s">
        <v>3</v>
      </c>
      <c r="S257" s="5" t="s">
        <v>3</v>
      </c>
      <c r="T257" s="5" t="s">
        <v>3</v>
      </c>
      <c r="U257" s="5" t="s">
        <v>3</v>
      </c>
      <c r="V257" s="5" t="s">
        <v>3</v>
      </c>
      <c r="W257" s="5" t="s">
        <v>3</v>
      </c>
      <c r="X257" s="5" t="s">
        <v>3</v>
      </c>
      <c r="Y257" s="5" t="s">
        <v>3</v>
      </c>
      <c r="Z257" s="5" t="s">
        <v>3</v>
      </c>
      <c r="AA257" s="5" t="s">
        <v>3</v>
      </c>
    </row>
    <row r="261" spans="1:27" x14ac:dyDescent="0.2">
      <c r="A261">
        <v>65</v>
      </c>
      <c r="C261">
        <v>1</v>
      </c>
      <c r="D261">
        <v>0</v>
      </c>
      <c r="E261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341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 t="s">
        <v>4</v>
      </c>
      <c r="G4" s="1" t="s">
        <v>5</v>
      </c>
      <c r="H4" s="1" t="s">
        <v>3</v>
      </c>
      <c r="I4" s="1" t="s">
        <v>3</v>
      </c>
      <c r="J4" s="1" t="s">
        <v>3</v>
      </c>
      <c r="K4" s="1" t="s">
        <v>3</v>
      </c>
      <c r="L4" s="1" t="s">
        <v>3</v>
      </c>
      <c r="M4" s="1" t="s">
        <v>3</v>
      </c>
      <c r="N4" s="1" t="s">
        <v>3</v>
      </c>
      <c r="O4" s="1" t="s">
        <v>3</v>
      </c>
      <c r="P4" s="1">
        <v>1984</v>
      </c>
      <c r="Q4" s="1" t="s">
        <v>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3</v>
      </c>
      <c r="G12" s="1" t="s">
        <v>6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7</v>
      </c>
      <c r="AC12" s="1" t="s">
        <v>8</v>
      </c>
      <c r="AD12" s="1" t="s">
        <v>9</v>
      </c>
      <c r="AE12" s="1" t="s">
        <v>10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11</v>
      </c>
      <c r="BI12" s="1" t="s">
        <v>12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13</v>
      </c>
      <c r="BZ12" s="1" t="s">
        <v>14</v>
      </c>
      <c r="CA12" s="1" t="s">
        <v>13</v>
      </c>
      <c r="CB12" s="1" t="s">
        <v>13</v>
      </c>
      <c r="CC12" s="1" t="s">
        <v>13</v>
      </c>
      <c r="CD12" s="1" t="s">
        <v>13</v>
      </c>
      <c r="CE12" s="1" t="s">
        <v>15</v>
      </c>
      <c r="CF12" s="1">
        <v>0</v>
      </c>
      <c r="CG12" s="1">
        <v>0</v>
      </c>
      <c r="CH12" s="1">
        <v>524296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35891596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16</v>
      </c>
      <c r="D16" s="6" t="s">
        <v>6</v>
      </c>
      <c r="E16" s="7">
        <f>(Source!F149)/1000</f>
        <v>245.00185999999999</v>
      </c>
      <c r="F16" s="7">
        <f>(Source!F150)/1000</f>
        <v>192.25773000000001</v>
      </c>
      <c r="G16" s="7">
        <f>(Source!F141)/1000</f>
        <v>0</v>
      </c>
      <c r="H16" s="7">
        <f>(Source!F151)/1000+(Source!F152)/1000</f>
        <v>0.52751999999999999</v>
      </c>
      <c r="I16" s="7">
        <f>E16+F16+G16+H16</f>
        <v>437.78710999999998</v>
      </c>
      <c r="J16" s="7">
        <f>(Source!F147)/1000</f>
        <v>33.201410000000003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366710.91</v>
      </c>
      <c r="AU16" s="7">
        <v>313825.78000000003</v>
      </c>
      <c r="AV16" s="7">
        <v>154585.5</v>
      </c>
      <c r="AW16" s="7">
        <v>0</v>
      </c>
      <c r="AX16" s="7">
        <v>0</v>
      </c>
      <c r="AY16" s="7">
        <v>19683.72</v>
      </c>
      <c r="AZ16" s="7">
        <v>7363.8</v>
      </c>
      <c r="BA16" s="7">
        <v>33201.410000000003</v>
      </c>
      <c r="BB16" s="7">
        <v>245001.86</v>
      </c>
      <c r="BC16" s="7">
        <v>192257.73</v>
      </c>
      <c r="BD16" s="7">
        <v>527.52</v>
      </c>
      <c r="BE16" s="7">
        <v>0</v>
      </c>
      <c r="BF16" s="7">
        <v>150.17069280000001</v>
      </c>
      <c r="BG16" s="7">
        <v>22.416739199999999</v>
      </c>
      <c r="BH16" s="7">
        <v>0</v>
      </c>
      <c r="BI16" s="7">
        <v>37136.699999999997</v>
      </c>
      <c r="BJ16" s="7">
        <v>23436.21</v>
      </c>
      <c r="BK16" s="7">
        <v>437787.11</v>
      </c>
    </row>
    <row r="17" spans="1:63" x14ac:dyDescent="0.2">
      <c r="A17" s="6">
        <v>3</v>
      </c>
      <c r="B17" s="6">
        <v>2</v>
      </c>
      <c r="C17" s="6" t="s">
        <v>90</v>
      </c>
      <c r="D17" s="6" t="s">
        <v>264</v>
      </c>
      <c r="E17" s="7">
        <f>(Source!F186)/1000</f>
        <v>0</v>
      </c>
      <c r="F17" s="7">
        <f>(Source!F187)/1000</f>
        <v>0</v>
      </c>
      <c r="G17" s="7">
        <f>(Source!F178)/1000</f>
        <v>0</v>
      </c>
      <c r="H17" s="7">
        <f>(Source!F188)/1000+(Source!F189)/1000</f>
        <v>2.74356</v>
      </c>
      <c r="I17" s="7">
        <f>E17+F17+G17+H17</f>
        <v>2.74356</v>
      </c>
      <c r="J17" s="7">
        <f>(Source!F184)/1000</f>
        <v>1.4671400000000001</v>
      </c>
      <c r="AI17" s="6">
        <v>0</v>
      </c>
      <c r="AJ17" s="6">
        <v>-1</v>
      </c>
      <c r="AK17" s="6" t="s">
        <v>3</v>
      </c>
      <c r="AL17" s="6" t="s">
        <v>3</v>
      </c>
      <c r="AM17" s="6" t="s">
        <v>3</v>
      </c>
      <c r="AN17" s="6">
        <v>0</v>
      </c>
      <c r="AO17" s="6" t="s">
        <v>3</v>
      </c>
      <c r="AP17" s="6" t="s">
        <v>3</v>
      </c>
      <c r="AT17" s="7">
        <v>1467.14</v>
      </c>
      <c r="AU17" s="7">
        <v>0</v>
      </c>
      <c r="AV17" s="7">
        <v>0</v>
      </c>
      <c r="AW17" s="7">
        <v>0</v>
      </c>
      <c r="AX17" s="7">
        <v>0</v>
      </c>
      <c r="AY17" s="7">
        <v>0</v>
      </c>
      <c r="AZ17" s="7">
        <v>0</v>
      </c>
      <c r="BA17" s="7">
        <v>1467.14</v>
      </c>
      <c r="BB17" s="7">
        <v>0</v>
      </c>
      <c r="BC17" s="7">
        <v>0</v>
      </c>
      <c r="BD17" s="7">
        <v>2743.56</v>
      </c>
      <c r="BE17" s="7">
        <v>0</v>
      </c>
      <c r="BF17" s="7">
        <v>4.4352</v>
      </c>
      <c r="BG17" s="7">
        <v>0</v>
      </c>
      <c r="BH17" s="7">
        <v>0</v>
      </c>
      <c r="BI17" s="7">
        <v>806.93</v>
      </c>
      <c r="BJ17" s="7">
        <v>469.49</v>
      </c>
      <c r="BK17" s="7">
        <v>2743.56</v>
      </c>
    </row>
    <row r="19" spans="1:63" x14ac:dyDescent="0.2">
      <c r="A19">
        <v>51</v>
      </c>
      <c r="E19" s="8">
        <f>SUMIF(A16:A18,3,E16:E18)</f>
        <v>245.00185999999999</v>
      </c>
      <c r="F19" s="8">
        <f>SUMIF(A16:A18,3,F16:F18)</f>
        <v>192.25773000000001</v>
      </c>
      <c r="G19" s="8">
        <f>SUMIF(A16:A18,3,G16:G18)</f>
        <v>0</v>
      </c>
      <c r="H19" s="8">
        <f>SUMIF(A16:A18,3,H16:H18)</f>
        <v>3.27108</v>
      </c>
      <c r="I19" s="8">
        <f>SUMIF(A16:A18,3,I16:I18)</f>
        <v>440.53066999999999</v>
      </c>
      <c r="J19" s="8">
        <f>SUMIF(A16:A18,3,J16:J18)</f>
        <v>34.668550000000003</v>
      </c>
      <c r="K19" s="8"/>
      <c r="L19" s="8"/>
      <c r="M19" s="8"/>
      <c r="N19" s="8"/>
      <c r="O19" s="8"/>
      <c r="P19" s="8"/>
      <c r="Q19" s="8"/>
      <c r="R19" s="8"/>
      <c r="S19" s="8"/>
    </row>
    <row r="21" spans="1:63" x14ac:dyDescent="0.2">
      <c r="A21" s="4">
        <v>50</v>
      </c>
      <c r="B21" s="4">
        <v>0</v>
      </c>
      <c r="C21" s="4">
        <v>0</v>
      </c>
      <c r="D21" s="4">
        <v>1</v>
      </c>
      <c r="E21" s="4">
        <v>201</v>
      </c>
      <c r="F21" s="4">
        <v>368178.05</v>
      </c>
      <c r="G21" s="4" t="s">
        <v>163</v>
      </c>
      <c r="H21" s="4" t="s">
        <v>164</v>
      </c>
      <c r="I21" s="4"/>
      <c r="J21" s="4"/>
      <c r="K21" s="4">
        <v>201</v>
      </c>
      <c r="L21" s="4">
        <v>1</v>
      </c>
      <c r="M21" s="4">
        <v>3</v>
      </c>
      <c r="N21" s="4" t="s">
        <v>3</v>
      </c>
      <c r="O21" s="4">
        <v>2</v>
      </c>
      <c r="P21" s="4"/>
    </row>
    <row r="22" spans="1:63" x14ac:dyDescent="0.2">
      <c r="A22" s="4">
        <v>50</v>
      </c>
      <c r="B22" s="4">
        <v>0</v>
      </c>
      <c r="C22" s="4">
        <v>0</v>
      </c>
      <c r="D22" s="4">
        <v>1</v>
      </c>
      <c r="E22" s="4">
        <v>202</v>
      </c>
      <c r="F22" s="4">
        <v>313825.78000000003</v>
      </c>
      <c r="G22" s="4" t="s">
        <v>165</v>
      </c>
      <c r="H22" s="4" t="s">
        <v>166</v>
      </c>
      <c r="I22" s="4"/>
      <c r="J22" s="4"/>
      <c r="K22" s="4">
        <v>202</v>
      </c>
      <c r="L22" s="4">
        <v>2</v>
      </c>
      <c r="M22" s="4">
        <v>3</v>
      </c>
      <c r="N22" s="4" t="s">
        <v>3</v>
      </c>
      <c r="O22" s="4">
        <v>2</v>
      </c>
      <c r="P22" s="4"/>
    </row>
    <row r="23" spans="1:63" x14ac:dyDescent="0.2">
      <c r="A23" s="4">
        <v>50</v>
      </c>
      <c r="B23" s="4">
        <v>0</v>
      </c>
      <c r="C23" s="4">
        <v>0</v>
      </c>
      <c r="D23" s="4">
        <v>1</v>
      </c>
      <c r="E23" s="4">
        <v>222</v>
      </c>
      <c r="F23" s="4">
        <v>154585.5</v>
      </c>
      <c r="G23" s="4" t="s">
        <v>167</v>
      </c>
      <c r="H23" s="4" t="s">
        <v>168</v>
      </c>
      <c r="I23" s="4"/>
      <c r="J23" s="4"/>
      <c r="K23" s="4">
        <v>222</v>
      </c>
      <c r="L23" s="4">
        <v>3</v>
      </c>
      <c r="M23" s="4">
        <v>3</v>
      </c>
      <c r="N23" s="4" t="s">
        <v>3</v>
      </c>
      <c r="O23" s="4">
        <v>2</v>
      </c>
      <c r="P23" s="4"/>
    </row>
    <row r="24" spans="1:63" x14ac:dyDescent="0.2">
      <c r="A24" s="4">
        <v>50</v>
      </c>
      <c r="B24" s="4">
        <v>0</v>
      </c>
      <c r="C24" s="4">
        <v>0</v>
      </c>
      <c r="D24" s="4">
        <v>1</v>
      </c>
      <c r="E24" s="4">
        <v>225</v>
      </c>
      <c r="F24" s="4">
        <v>159240.28</v>
      </c>
      <c r="G24" s="4" t="s">
        <v>169</v>
      </c>
      <c r="H24" s="4" t="s">
        <v>170</v>
      </c>
      <c r="I24" s="4"/>
      <c r="J24" s="4"/>
      <c r="K24" s="4">
        <v>225</v>
      </c>
      <c r="L24" s="4">
        <v>4</v>
      </c>
      <c r="M24" s="4">
        <v>3</v>
      </c>
      <c r="N24" s="4" t="s">
        <v>3</v>
      </c>
      <c r="O24" s="4">
        <v>2</v>
      </c>
      <c r="P24" s="4"/>
    </row>
    <row r="25" spans="1:63" x14ac:dyDescent="0.2">
      <c r="A25" s="4">
        <v>50</v>
      </c>
      <c r="B25" s="4">
        <v>0</v>
      </c>
      <c r="C25" s="4">
        <v>0</v>
      </c>
      <c r="D25" s="4">
        <v>1</v>
      </c>
      <c r="E25" s="4">
        <v>226</v>
      </c>
      <c r="F25" s="4">
        <v>313825.78000000003</v>
      </c>
      <c r="G25" s="4" t="s">
        <v>171</v>
      </c>
      <c r="H25" s="4" t="s">
        <v>172</v>
      </c>
      <c r="I25" s="4"/>
      <c r="J25" s="4"/>
      <c r="K25" s="4">
        <v>226</v>
      </c>
      <c r="L25" s="4">
        <v>5</v>
      </c>
      <c r="M25" s="4">
        <v>3</v>
      </c>
      <c r="N25" s="4" t="s">
        <v>3</v>
      </c>
      <c r="O25" s="4">
        <v>2</v>
      </c>
      <c r="P25" s="4"/>
    </row>
    <row r="26" spans="1:63" x14ac:dyDescent="0.2">
      <c r="A26" s="4">
        <v>50</v>
      </c>
      <c r="B26" s="4">
        <v>0</v>
      </c>
      <c r="C26" s="4">
        <v>0</v>
      </c>
      <c r="D26" s="4">
        <v>1</v>
      </c>
      <c r="E26" s="4">
        <v>227</v>
      </c>
      <c r="F26" s="4">
        <v>154585.5</v>
      </c>
      <c r="G26" s="4" t="s">
        <v>173</v>
      </c>
      <c r="H26" s="4" t="s">
        <v>174</v>
      </c>
      <c r="I26" s="4"/>
      <c r="J26" s="4"/>
      <c r="K26" s="4">
        <v>227</v>
      </c>
      <c r="L26" s="4">
        <v>6</v>
      </c>
      <c r="M26" s="4">
        <v>3</v>
      </c>
      <c r="N26" s="4" t="s">
        <v>3</v>
      </c>
      <c r="O26" s="4">
        <v>2</v>
      </c>
      <c r="P26" s="4"/>
    </row>
    <row r="27" spans="1:63" x14ac:dyDescent="0.2">
      <c r="A27" s="4">
        <v>50</v>
      </c>
      <c r="B27" s="4">
        <v>0</v>
      </c>
      <c r="C27" s="4">
        <v>0</v>
      </c>
      <c r="D27" s="4">
        <v>1</v>
      </c>
      <c r="E27" s="4">
        <v>228</v>
      </c>
      <c r="F27" s="4">
        <v>159240.28</v>
      </c>
      <c r="G27" s="4" t="s">
        <v>175</v>
      </c>
      <c r="H27" s="4" t="s">
        <v>176</v>
      </c>
      <c r="I27" s="4"/>
      <c r="J27" s="4"/>
      <c r="K27" s="4">
        <v>228</v>
      </c>
      <c r="L27" s="4">
        <v>7</v>
      </c>
      <c r="M27" s="4">
        <v>3</v>
      </c>
      <c r="N27" s="4" t="s">
        <v>3</v>
      </c>
      <c r="O27" s="4">
        <v>2</v>
      </c>
      <c r="P27" s="4"/>
    </row>
    <row r="28" spans="1:63" x14ac:dyDescent="0.2">
      <c r="A28" s="4">
        <v>50</v>
      </c>
      <c r="B28" s="4">
        <v>0</v>
      </c>
      <c r="C28" s="4">
        <v>0</v>
      </c>
      <c r="D28" s="4">
        <v>1</v>
      </c>
      <c r="E28" s="4">
        <v>216</v>
      </c>
      <c r="F28" s="4">
        <v>0</v>
      </c>
      <c r="G28" s="4" t="s">
        <v>177</v>
      </c>
      <c r="H28" s="4" t="s">
        <v>178</v>
      </c>
      <c r="I28" s="4"/>
      <c r="J28" s="4"/>
      <c r="K28" s="4">
        <v>216</v>
      </c>
      <c r="L28" s="4">
        <v>8</v>
      </c>
      <c r="M28" s="4">
        <v>3</v>
      </c>
      <c r="N28" s="4" t="s">
        <v>3</v>
      </c>
      <c r="O28" s="4">
        <v>2</v>
      </c>
      <c r="P28" s="4"/>
    </row>
    <row r="29" spans="1:63" x14ac:dyDescent="0.2">
      <c r="A29" s="4">
        <v>50</v>
      </c>
      <c r="B29" s="4">
        <v>0</v>
      </c>
      <c r="C29" s="4">
        <v>0</v>
      </c>
      <c r="D29" s="4">
        <v>1</v>
      </c>
      <c r="E29" s="4">
        <v>223</v>
      </c>
      <c r="F29" s="4">
        <v>0</v>
      </c>
      <c r="G29" s="4" t="s">
        <v>179</v>
      </c>
      <c r="H29" s="4" t="s">
        <v>180</v>
      </c>
      <c r="I29" s="4"/>
      <c r="J29" s="4"/>
      <c r="K29" s="4">
        <v>223</v>
      </c>
      <c r="L29" s="4">
        <v>9</v>
      </c>
      <c r="M29" s="4">
        <v>3</v>
      </c>
      <c r="N29" s="4" t="s">
        <v>3</v>
      </c>
      <c r="O29" s="4">
        <v>2</v>
      </c>
      <c r="P29" s="4"/>
    </row>
    <row r="30" spans="1:63" x14ac:dyDescent="0.2">
      <c r="A30" s="4">
        <v>50</v>
      </c>
      <c r="B30" s="4">
        <v>0</v>
      </c>
      <c r="C30" s="4">
        <v>0</v>
      </c>
      <c r="D30" s="4">
        <v>1</v>
      </c>
      <c r="E30" s="4">
        <v>229</v>
      </c>
      <c r="F30" s="4">
        <v>0</v>
      </c>
      <c r="G30" s="4" t="s">
        <v>181</v>
      </c>
      <c r="H30" s="4" t="s">
        <v>182</v>
      </c>
      <c r="I30" s="4"/>
      <c r="J30" s="4"/>
      <c r="K30" s="4">
        <v>229</v>
      </c>
      <c r="L30" s="4">
        <v>10</v>
      </c>
      <c r="M30" s="4">
        <v>3</v>
      </c>
      <c r="N30" s="4" t="s">
        <v>3</v>
      </c>
      <c r="O30" s="4">
        <v>2</v>
      </c>
      <c r="P30" s="4"/>
    </row>
    <row r="31" spans="1:63" x14ac:dyDescent="0.2">
      <c r="A31" s="4">
        <v>50</v>
      </c>
      <c r="B31" s="4">
        <v>0</v>
      </c>
      <c r="C31" s="4">
        <v>0</v>
      </c>
      <c r="D31" s="4">
        <v>1</v>
      </c>
      <c r="E31" s="4">
        <v>203</v>
      </c>
      <c r="F31" s="4">
        <v>19683.72</v>
      </c>
      <c r="G31" s="4" t="s">
        <v>183</v>
      </c>
      <c r="H31" s="4" t="s">
        <v>184</v>
      </c>
      <c r="I31" s="4"/>
      <c r="J31" s="4"/>
      <c r="K31" s="4">
        <v>203</v>
      </c>
      <c r="L31" s="4">
        <v>11</v>
      </c>
      <c r="M31" s="4">
        <v>3</v>
      </c>
      <c r="N31" s="4" t="s">
        <v>3</v>
      </c>
      <c r="O31" s="4">
        <v>2</v>
      </c>
      <c r="P31" s="4"/>
    </row>
    <row r="32" spans="1:63" x14ac:dyDescent="0.2">
      <c r="A32" s="4">
        <v>50</v>
      </c>
      <c r="B32" s="4">
        <v>0</v>
      </c>
      <c r="C32" s="4">
        <v>0</v>
      </c>
      <c r="D32" s="4">
        <v>1</v>
      </c>
      <c r="E32" s="4">
        <v>231</v>
      </c>
      <c r="F32" s="4">
        <v>0</v>
      </c>
      <c r="G32" s="4" t="s">
        <v>185</v>
      </c>
      <c r="H32" s="4" t="s">
        <v>186</v>
      </c>
      <c r="I32" s="4"/>
      <c r="J32" s="4"/>
      <c r="K32" s="4">
        <v>231</v>
      </c>
      <c r="L32" s="4">
        <v>12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204</v>
      </c>
      <c r="F33" s="4">
        <v>7363.8</v>
      </c>
      <c r="G33" s="4" t="s">
        <v>187</v>
      </c>
      <c r="H33" s="4" t="s">
        <v>188</v>
      </c>
      <c r="I33" s="4"/>
      <c r="J33" s="4"/>
      <c r="K33" s="4">
        <v>204</v>
      </c>
      <c r="L33" s="4">
        <v>13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205</v>
      </c>
      <c r="F34" s="4">
        <v>34668.550000000003</v>
      </c>
      <c r="G34" s="4" t="s">
        <v>189</v>
      </c>
      <c r="H34" s="4" t="s">
        <v>190</v>
      </c>
      <c r="I34" s="4"/>
      <c r="J34" s="4"/>
      <c r="K34" s="4">
        <v>205</v>
      </c>
      <c r="L34" s="4">
        <v>14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232</v>
      </c>
      <c r="F35" s="4">
        <v>0</v>
      </c>
      <c r="G35" s="4" t="s">
        <v>191</v>
      </c>
      <c r="H35" s="4" t="s">
        <v>192</v>
      </c>
      <c r="I35" s="4"/>
      <c r="J35" s="4"/>
      <c r="K35" s="4">
        <v>232</v>
      </c>
      <c r="L35" s="4">
        <v>15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214</v>
      </c>
      <c r="F36" s="4">
        <v>245001.86</v>
      </c>
      <c r="G36" s="4" t="s">
        <v>193</v>
      </c>
      <c r="H36" s="4" t="s">
        <v>194</v>
      </c>
      <c r="I36" s="4"/>
      <c r="J36" s="4"/>
      <c r="K36" s="4">
        <v>214</v>
      </c>
      <c r="L36" s="4">
        <v>16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215</v>
      </c>
      <c r="F37" s="4">
        <v>192257.73</v>
      </c>
      <c r="G37" s="4" t="s">
        <v>195</v>
      </c>
      <c r="H37" s="4" t="s">
        <v>196</v>
      </c>
      <c r="I37" s="4"/>
      <c r="J37" s="4"/>
      <c r="K37" s="4">
        <v>215</v>
      </c>
      <c r="L37" s="4">
        <v>17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217</v>
      </c>
      <c r="F38" s="4">
        <v>3271.08</v>
      </c>
      <c r="G38" s="4" t="s">
        <v>197</v>
      </c>
      <c r="H38" s="4" t="s">
        <v>198</v>
      </c>
      <c r="I38" s="4"/>
      <c r="J38" s="4"/>
      <c r="K38" s="4">
        <v>217</v>
      </c>
      <c r="L38" s="4">
        <v>18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230</v>
      </c>
      <c r="F39" s="4">
        <v>0</v>
      </c>
      <c r="G39" s="4" t="s">
        <v>199</v>
      </c>
      <c r="H39" s="4" t="s">
        <v>200</v>
      </c>
      <c r="I39" s="4"/>
      <c r="J39" s="4"/>
      <c r="K39" s="4">
        <v>230</v>
      </c>
      <c r="L39" s="4">
        <v>19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206</v>
      </c>
      <c r="F40" s="4">
        <v>0</v>
      </c>
      <c r="G40" s="4" t="s">
        <v>201</v>
      </c>
      <c r="H40" s="4" t="s">
        <v>202</v>
      </c>
      <c r="I40" s="4"/>
      <c r="J40" s="4"/>
      <c r="K40" s="4">
        <v>206</v>
      </c>
      <c r="L40" s="4">
        <v>20</v>
      </c>
      <c r="M40" s="4">
        <v>3</v>
      </c>
      <c r="N40" s="4" t="s">
        <v>3</v>
      </c>
      <c r="O40" s="4">
        <v>2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207</v>
      </c>
      <c r="F41" s="4">
        <v>154.60589280000002</v>
      </c>
      <c r="G41" s="4" t="s">
        <v>203</v>
      </c>
      <c r="H41" s="4" t="s">
        <v>204</v>
      </c>
      <c r="I41" s="4"/>
      <c r="J41" s="4"/>
      <c r="K41" s="4">
        <v>207</v>
      </c>
      <c r="L41" s="4">
        <v>21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208</v>
      </c>
      <c r="F42" s="4">
        <v>22.416739199999999</v>
      </c>
      <c r="G42" s="4" t="s">
        <v>205</v>
      </c>
      <c r="H42" s="4" t="s">
        <v>206</v>
      </c>
      <c r="I42" s="4"/>
      <c r="J42" s="4"/>
      <c r="K42" s="4">
        <v>208</v>
      </c>
      <c r="L42" s="4">
        <v>22</v>
      </c>
      <c r="M42" s="4">
        <v>3</v>
      </c>
      <c r="N42" s="4" t="s">
        <v>3</v>
      </c>
      <c r="O42" s="4">
        <v>-1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209</v>
      </c>
      <c r="F43" s="4">
        <v>0</v>
      </c>
      <c r="G43" s="4" t="s">
        <v>207</v>
      </c>
      <c r="H43" s="4" t="s">
        <v>208</v>
      </c>
      <c r="I43" s="4"/>
      <c r="J43" s="4"/>
      <c r="K43" s="4">
        <v>209</v>
      </c>
      <c r="L43" s="4">
        <v>23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37943.629999999997</v>
      </c>
      <c r="G44" s="4" t="s">
        <v>209</v>
      </c>
      <c r="H44" s="4" t="s">
        <v>210</v>
      </c>
      <c r="I44" s="4"/>
      <c r="J44" s="4"/>
      <c r="K44" s="4">
        <v>210</v>
      </c>
      <c r="L44" s="4">
        <v>24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23905.7</v>
      </c>
      <c r="G45" s="4" t="s">
        <v>211</v>
      </c>
      <c r="H45" s="4" t="s">
        <v>212</v>
      </c>
      <c r="I45" s="4"/>
      <c r="J45" s="4"/>
      <c r="K45" s="4">
        <v>211</v>
      </c>
      <c r="L45" s="4">
        <v>25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440530.67</v>
      </c>
      <c r="G46" s="4" t="s">
        <v>213</v>
      </c>
      <c r="H46" s="4" t="s">
        <v>214</v>
      </c>
      <c r="I46" s="4"/>
      <c r="J46" s="4"/>
      <c r="K46" s="4">
        <v>224</v>
      </c>
      <c r="L46" s="4">
        <v>26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27" x14ac:dyDescent="0.2">
      <c r="A51" s="3">
        <v>75</v>
      </c>
      <c r="B51" s="3" t="s">
        <v>338</v>
      </c>
      <c r="C51" s="3">
        <v>2018</v>
      </c>
      <c r="D51" s="3">
        <v>0</v>
      </c>
      <c r="E51" s="3">
        <v>5</v>
      </c>
      <c r="F51" s="3"/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35891596</v>
      </c>
      <c r="O51" s="3">
        <v>1</v>
      </c>
    </row>
    <row r="52" spans="1:27" x14ac:dyDescent="0.2">
      <c r="A52" s="5">
        <v>1</v>
      </c>
      <c r="B52" s="5" t="s">
        <v>339</v>
      </c>
      <c r="C52" s="5" t="s">
        <v>340</v>
      </c>
      <c r="D52" s="5">
        <v>2018</v>
      </c>
      <c r="E52" s="5">
        <v>5</v>
      </c>
      <c r="F52" s="5">
        <v>1</v>
      </c>
      <c r="G52" s="5">
        <v>1</v>
      </c>
      <c r="H52" s="5">
        <v>0</v>
      </c>
      <c r="I52" s="5">
        <v>2</v>
      </c>
      <c r="J52" s="5">
        <v>1</v>
      </c>
      <c r="K52" s="5">
        <v>1</v>
      </c>
      <c r="L52" s="5">
        <v>1</v>
      </c>
      <c r="M52" s="5">
        <v>1</v>
      </c>
      <c r="N52" s="5">
        <v>1</v>
      </c>
      <c r="O52" s="5">
        <v>1</v>
      </c>
      <c r="P52" s="5">
        <v>1</v>
      </c>
      <c r="Q52" s="5">
        <v>1</v>
      </c>
      <c r="R52" s="5" t="s">
        <v>3</v>
      </c>
      <c r="S52" s="5" t="s">
        <v>3</v>
      </c>
      <c r="T52" s="5" t="s">
        <v>3</v>
      </c>
      <c r="U52" s="5" t="s">
        <v>3</v>
      </c>
      <c r="V52" s="5" t="s">
        <v>3</v>
      </c>
      <c r="W52" s="5" t="s">
        <v>3</v>
      </c>
      <c r="X52" s="5" t="s">
        <v>3</v>
      </c>
      <c r="Y52" s="5" t="s">
        <v>3</v>
      </c>
      <c r="Z52" s="5" t="s">
        <v>3</v>
      </c>
      <c r="AA52" s="5" t="s">
        <v>3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10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6" x14ac:dyDescent="0.2">
      <c r="A1">
        <f>ROW(Source!A30)</f>
        <v>30</v>
      </c>
      <c r="B1">
        <v>35891596</v>
      </c>
      <c r="C1">
        <v>35891824</v>
      </c>
      <c r="D1">
        <v>31708818</v>
      </c>
      <c r="E1">
        <v>1</v>
      </c>
      <c r="F1">
        <v>1</v>
      </c>
      <c r="G1">
        <v>1</v>
      </c>
      <c r="H1">
        <v>1</v>
      </c>
      <c r="I1" t="s">
        <v>342</v>
      </c>
      <c r="J1" t="s">
        <v>3</v>
      </c>
      <c r="K1" t="s">
        <v>343</v>
      </c>
      <c r="L1">
        <v>1191</v>
      </c>
      <c r="N1">
        <v>1013</v>
      </c>
      <c r="O1" t="s">
        <v>344</v>
      </c>
      <c r="P1" t="s">
        <v>344</v>
      </c>
      <c r="Q1">
        <v>1</v>
      </c>
      <c r="W1">
        <v>0</v>
      </c>
      <c r="X1">
        <v>-200730820</v>
      </c>
      <c r="Y1">
        <v>167.42400000000001</v>
      </c>
      <c r="AA1">
        <v>0</v>
      </c>
      <c r="AB1">
        <v>0</v>
      </c>
      <c r="AC1">
        <v>0</v>
      </c>
      <c r="AD1">
        <v>8.3800000000000008</v>
      </c>
      <c r="AE1">
        <v>0</v>
      </c>
      <c r="AF1">
        <v>0</v>
      </c>
      <c r="AG1">
        <v>0</v>
      </c>
      <c r="AH1">
        <v>8.3800000000000008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139.52000000000001</v>
      </c>
      <c r="AU1" t="s">
        <v>40</v>
      </c>
      <c r="AV1">
        <v>1</v>
      </c>
      <c r="AW1">
        <v>2</v>
      </c>
      <c r="AX1">
        <v>35891831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Y1*Source!I30</f>
        <v>28.930867200000002</v>
      </c>
      <c r="CY1">
        <f>AD1</f>
        <v>8.3800000000000008</v>
      </c>
      <c r="CZ1">
        <f>AH1</f>
        <v>8.3800000000000008</v>
      </c>
      <c r="DA1">
        <f>AL1</f>
        <v>1</v>
      </c>
      <c r="DB1">
        <v>0</v>
      </c>
    </row>
    <row r="2" spans="1:106" x14ac:dyDescent="0.2">
      <c r="A2">
        <f>ROW(Source!A30)</f>
        <v>30</v>
      </c>
      <c r="B2">
        <v>35891596</v>
      </c>
      <c r="C2">
        <v>35891824</v>
      </c>
      <c r="D2">
        <v>31703727</v>
      </c>
      <c r="E2">
        <v>1</v>
      </c>
      <c r="F2">
        <v>1</v>
      </c>
      <c r="G2">
        <v>1</v>
      </c>
      <c r="H2">
        <v>1</v>
      </c>
      <c r="I2" t="s">
        <v>345</v>
      </c>
      <c r="J2" t="s">
        <v>3</v>
      </c>
      <c r="K2" t="s">
        <v>346</v>
      </c>
      <c r="L2">
        <v>1191</v>
      </c>
      <c r="N2">
        <v>1013</v>
      </c>
      <c r="O2" t="s">
        <v>344</v>
      </c>
      <c r="P2" t="s">
        <v>344</v>
      </c>
      <c r="Q2">
        <v>1</v>
      </c>
      <c r="W2">
        <v>0</v>
      </c>
      <c r="X2">
        <v>-1417349443</v>
      </c>
      <c r="Y2">
        <v>34.39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34.39</v>
      </c>
      <c r="AU2" t="s">
        <v>3</v>
      </c>
      <c r="AV2">
        <v>2</v>
      </c>
      <c r="AW2">
        <v>2</v>
      </c>
      <c r="AX2">
        <v>35891832</v>
      </c>
      <c r="AY2">
        <v>1</v>
      </c>
      <c r="AZ2">
        <v>2048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Y2*Source!I30</f>
        <v>5.9425920000000003</v>
      </c>
      <c r="CY2">
        <f>AD2</f>
        <v>0</v>
      </c>
      <c r="CZ2">
        <f>AH2</f>
        <v>0</v>
      </c>
      <c r="DA2">
        <f>AL2</f>
        <v>1</v>
      </c>
      <c r="DB2">
        <v>0</v>
      </c>
    </row>
    <row r="3" spans="1:106" x14ac:dyDescent="0.2">
      <c r="A3">
        <f>ROW(Source!A30)</f>
        <v>30</v>
      </c>
      <c r="B3">
        <v>35891596</v>
      </c>
      <c r="C3">
        <v>35891824</v>
      </c>
      <c r="D3">
        <v>31518461</v>
      </c>
      <c r="E3">
        <v>1</v>
      </c>
      <c r="F3">
        <v>1</v>
      </c>
      <c r="G3">
        <v>1</v>
      </c>
      <c r="H3">
        <v>2</v>
      </c>
      <c r="I3" t="s">
        <v>347</v>
      </c>
      <c r="J3" t="s">
        <v>348</v>
      </c>
      <c r="K3" t="s">
        <v>349</v>
      </c>
      <c r="L3">
        <v>1368</v>
      </c>
      <c r="N3">
        <v>1011</v>
      </c>
      <c r="O3" t="s">
        <v>350</v>
      </c>
      <c r="P3" t="s">
        <v>350</v>
      </c>
      <c r="Q3">
        <v>1</v>
      </c>
      <c r="W3">
        <v>0</v>
      </c>
      <c r="X3">
        <v>645023554</v>
      </c>
      <c r="Y3">
        <v>0.79200000000000004</v>
      </c>
      <c r="AA3">
        <v>0</v>
      </c>
      <c r="AB3">
        <v>123</v>
      </c>
      <c r="AC3">
        <v>13.5</v>
      </c>
      <c r="AD3">
        <v>0</v>
      </c>
      <c r="AE3">
        <v>0</v>
      </c>
      <c r="AF3">
        <v>123</v>
      </c>
      <c r="AG3">
        <v>13.5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0.66</v>
      </c>
      <c r="AU3" t="s">
        <v>40</v>
      </c>
      <c r="AV3">
        <v>0</v>
      </c>
      <c r="AW3">
        <v>2</v>
      </c>
      <c r="AX3">
        <v>35891833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Y3*Source!I30</f>
        <v>0.13685760000000002</v>
      </c>
      <c r="CY3">
        <f>AB3</f>
        <v>123</v>
      </c>
      <c r="CZ3">
        <f>AF3</f>
        <v>123</v>
      </c>
      <c r="DA3">
        <f>AJ3</f>
        <v>1</v>
      </c>
      <c r="DB3">
        <v>0</v>
      </c>
    </row>
    <row r="4" spans="1:106" x14ac:dyDescent="0.2">
      <c r="A4">
        <f>ROW(Source!A30)</f>
        <v>30</v>
      </c>
      <c r="B4">
        <v>35891596</v>
      </c>
      <c r="C4">
        <v>35891824</v>
      </c>
      <c r="D4">
        <v>31519244</v>
      </c>
      <c r="E4">
        <v>1</v>
      </c>
      <c r="F4">
        <v>1</v>
      </c>
      <c r="G4">
        <v>1</v>
      </c>
      <c r="H4">
        <v>2</v>
      </c>
      <c r="I4" t="s">
        <v>351</v>
      </c>
      <c r="J4" t="s">
        <v>352</v>
      </c>
      <c r="K4" t="s">
        <v>353</v>
      </c>
      <c r="L4">
        <v>1368</v>
      </c>
      <c r="N4">
        <v>1011</v>
      </c>
      <c r="O4" t="s">
        <v>350</v>
      </c>
      <c r="P4" t="s">
        <v>350</v>
      </c>
      <c r="Q4">
        <v>1</v>
      </c>
      <c r="W4">
        <v>0</v>
      </c>
      <c r="X4">
        <v>-1718674368</v>
      </c>
      <c r="Y4">
        <v>40.379999999999995</v>
      </c>
      <c r="AA4">
        <v>0</v>
      </c>
      <c r="AB4">
        <v>111.99</v>
      </c>
      <c r="AC4">
        <v>13.5</v>
      </c>
      <c r="AD4">
        <v>0</v>
      </c>
      <c r="AE4">
        <v>0</v>
      </c>
      <c r="AF4">
        <v>111.99</v>
      </c>
      <c r="AG4">
        <v>13.5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33.65</v>
      </c>
      <c r="AU4" t="s">
        <v>40</v>
      </c>
      <c r="AV4">
        <v>0</v>
      </c>
      <c r="AW4">
        <v>2</v>
      </c>
      <c r="AX4">
        <v>35891834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Y4*Source!I30</f>
        <v>6.9776639999999999</v>
      </c>
      <c r="CY4">
        <f>AB4</f>
        <v>111.99</v>
      </c>
      <c r="CZ4">
        <f>AF4</f>
        <v>111.99</v>
      </c>
      <c r="DA4">
        <f>AJ4</f>
        <v>1</v>
      </c>
      <c r="DB4">
        <v>0</v>
      </c>
    </row>
    <row r="5" spans="1:106" x14ac:dyDescent="0.2">
      <c r="A5">
        <f>ROW(Source!A30)</f>
        <v>30</v>
      </c>
      <c r="B5">
        <v>35891596</v>
      </c>
      <c r="C5">
        <v>35891824</v>
      </c>
      <c r="D5">
        <v>31519467</v>
      </c>
      <c r="E5">
        <v>1</v>
      </c>
      <c r="F5">
        <v>1</v>
      </c>
      <c r="G5">
        <v>1</v>
      </c>
      <c r="H5">
        <v>2</v>
      </c>
      <c r="I5" t="s">
        <v>354</v>
      </c>
      <c r="J5" t="s">
        <v>355</v>
      </c>
      <c r="K5" t="s">
        <v>356</v>
      </c>
      <c r="L5">
        <v>1368</v>
      </c>
      <c r="N5">
        <v>1011</v>
      </c>
      <c r="O5" t="s">
        <v>350</v>
      </c>
      <c r="P5" t="s">
        <v>350</v>
      </c>
      <c r="Q5">
        <v>1</v>
      </c>
      <c r="W5">
        <v>0</v>
      </c>
      <c r="X5">
        <v>1225731627</v>
      </c>
      <c r="Y5">
        <v>9.6000000000000002E-2</v>
      </c>
      <c r="AA5">
        <v>0</v>
      </c>
      <c r="AB5">
        <v>89.99</v>
      </c>
      <c r="AC5">
        <v>10.06</v>
      </c>
      <c r="AD5">
        <v>0</v>
      </c>
      <c r="AE5">
        <v>0</v>
      </c>
      <c r="AF5">
        <v>89.99</v>
      </c>
      <c r="AG5">
        <v>10.06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0.08</v>
      </c>
      <c r="AU5" t="s">
        <v>40</v>
      </c>
      <c r="AV5">
        <v>0</v>
      </c>
      <c r="AW5">
        <v>2</v>
      </c>
      <c r="AX5">
        <v>35891835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Y5*Source!I30</f>
        <v>1.6588800000000001E-2</v>
      </c>
      <c r="CY5">
        <f>AB5</f>
        <v>89.99</v>
      </c>
      <c r="CZ5">
        <f>AF5</f>
        <v>89.99</v>
      </c>
      <c r="DA5">
        <f>AJ5</f>
        <v>1</v>
      </c>
      <c r="DB5">
        <v>0</v>
      </c>
    </row>
    <row r="6" spans="1:106" x14ac:dyDescent="0.2">
      <c r="A6">
        <f>ROW(Source!A30)</f>
        <v>30</v>
      </c>
      <c r="B6">
        <v>35891596</v>
      </c>
      <c r="C6">
        <v>35891824</v>
      </c>
      <c r="D6">
        <v>31443147</v>
      </c>
      <c r="E6">
        <v>1</v>
      </c>
      <c r="F6">
        <v>1</v>
      </c>
      <c r="G6">
        <v>1</v>
      </c>
      <c r="H6">
        <v>3</v>
      </c>
      <c r="I6" t="s">
        <v>79</v>
      </c>
      <c r="J6" t="s">
        <v>81</v>
      </c>
      <c r="K6" t="s">
        <v>80</v>
      </c>
      <c r="L6">
        <v>1339</v>
      </c>
      <c r="N6">
        <v>1007</v>
      </c>
      <c r="O6" t="s">
        <v>50</v>
      </c>
      <c r="P6" t="s">
        <v>50</v>
      </c>
      <c r="Q6">
        <v>1</v>
      </c>
      <c r="W6">
        <v>0</v>
      </c>
      <c r="X6">
        <v>-35545874</v>
      </c>
      <c r="Y6">
        <v>1.18</v>
      </c>
      <c r="AA6">
        <v>569.17999999999995</v>
      </c>
      <c r="AB6">
        <v>0</v>
      </c>
      <c r="AC6">
        <v>0</v>
      </c>
      <c r="AD6">
        <v>0</v>
      </c>
      <c r="AE6">
        <v>55.26</v>
      </c>
      <c r="AF6">
        <v>0</v>
      </c>
      <c r="AG6">
        <v>0</v>
      </c>
      <c r="AH6">
        <v>0</v>
      </c>
      <c r="AI6">
        <v>10.3</v>
      </c>
      <c r="AJ6">
        <v>1</v>
      </c>
      <c r="AK6">
        <v>1</v>
      </c>
      <c r="AL6">
        <v>1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1.18</v>
      </c>
      <c r="AU6" t="s">
        <v>3</v>
      </c>
      <c r="AV6">
        <v>0</v>
      </c>
      <c r="AW6">
        <v>2</v>
      </c>
      <c r="AX6">
        <v>35891836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Y6*Source!I30</f>
        <v>0.203904</v>
      </c>
      <c r="CY6">
        <f>AA6</f>
        <v>569.17999999999995</v>
      </c>
      <c r="CZ6">
        <f>AE6</f>
        <v>55.26</v>
      </c>
      <c r="DA6">
        <f>AI6</f>
        <v>10.3</v>
      </c>
      <c r="DB6">
        <v>0</v>
      </c>
    </row>
    <row r="7" spans="1:106" x14ac:dyDescent="0.2">
      <c r="A7">
        <f>ROW(Source!A32)</f>
        <v>32</v>
      </c>
      <c r="B7">
        <v>35891596</v>
      </c>
      <c r="C7">
        <v>35891839</v>
      </c>
      <c r="D7">
        <v>31705604</v>
      </c>
      <c r="E7">
        <v>1</v>
      </c>
      <c r="F7">
        <v>1</v>
      </c>
      <c r="G7">
        <v>1</v>
      </c>
      <c r="H7">
        <v>1</v>
      </c>
      <c r="I7" t="s">
        <v>357</v>
      </c>
      <c r="J7" t="s">
        <v>3</v>
      </c>
      <c r="K7" t="s">
        <v>358</v>
      </c>
      <c r="L7">
        <v>1191</v>
      </c>
      <c r="N7">
        <v>1013</v>
      </c>
      <c r="O7" t="s">
        <v>344</v>
      </c>
      <c r="P7" t="s">
        <v>344</v>
      </c>
      <c r="Q7">
        <v>1</v>
      </c>
      <c r="W7">
        <v>0</v>
      </c>
      <c r="X7">
        <v>1430930646</v>
      </c>
      <c r="Y7">
        <v>45.911999999999999</v>
      </c>
      <c r="AA7">
        <v>0</v>
      </c>
      <c r="AB7">
        <v>0</v>
      </c>
      <c r="AC7">
        <v>0</v>
      </c>
      <c r="AD7">
        <v>8.24</v>
      </c>
      <c r="AE7">
        <v>0</v>
      </c>
      <c r="AF7">
        <v>0</v>
      </c>
      <c r="AG7">
        <v>0</v>
      </c>
      <c r="AH7">
        <v>8.24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38.26</v>
      </c>
      <c r="AU7" t="s">
        <v>40</v>
      </c>
      <c r="AV7">
        <v>1</v>
      </c>
      <c r="AW7">
        <v>2</v>
      </c>
      <c r="AX7">
        <v>35891846</v>
      </c>
      <c r="AY7">
        <v>1</v>
      </c>
      <c r="AZ7">
        <v>0</v>
      </c>
      <c r="BA7">
        <v>8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Y7*Source!I32</f>
        <v>7.9335936</v>
      </c>
      <c r="CY7">
        <f>AD7</f>
        <v>8.24</v>
      </c>
      <c r="CZ7">
        <f>AH7</f>
        <v>8.24</v>
      </c>
      <c r="DA7">
        <f>AL7</f>
        <v>1</v>
      </c>
      <c r="DB7">
        <v>0</v>
      </c>
    </row>
    <row r="8" spans="1:106" x14ac:dyDescent="0.2">
      <c r="A8">
        <f>ROW(Source!A32)</f>
        <v>32</v>
      </c>
      <c r="B8">
        <v>35891596</v>
      </c>
      <c r="C8">
        <v>35891839</v>
      </c>
      <c r="D8">
        <v>31703727</v>
      </c>
      <c r="E8">
        <v>1</v>
      </c>
      <c r="F8">
        <v>1</v>
      </c>
      <c r="G8">
        <v>1</v>
      </c>
      <c r="H8">
        <v>1</v>
      </c>
      <c r="I8" t="s">
        <v>345</v>
      </c>
      <c r="J8" t="s">
        <v>3</v>
      </c>
      <c r="K8" t="s">
        <v>346</v>
      </c>
      <c r="L8">
        <v>1191</v>
      </c>
      <c r="N8">
        <v>1013</v>
      </c>
      <c r="O8" t="s">
        <v>344</v>
      </c>
      <c r="P8" t="s">
        <v>344</v>
      </c>
      <c r="Q8">
        <v>1</v>
      </c>
      <c r="W8">
        <v>0</v>
      </c>
      <c r="X8">
        <v>-1417349443</v>
      </c>
      <c r="Y8">
        <v>29.58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29.58</v>
      </c>
      <c r="AU8" t="s">
        <v>3</v>
      </c>
      <c r="AV8">
        <v>2</v>
      </c>
      <c r="AW8">
        <v>2</v>
      </c>
      <c r="AX8">
        <v>35891847</v>
      </c>
      <c r="AY8">
        <v>1</v>
      </c>
      <c r="AZ8">
        <v>2048</v>
      </c>
      <c r="BA8">
        <v>9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Y8*Source!I32</f>
        <v>5.1114240000000004</v>
      </c>
      <c r="CY8">
        <f>AD8</f>
        <v>0</v>
      </c>
      <c r="CZ8">
        <f>AH8</f>
        <v>0</v>
      </c>
      <c r="DA8">
        <f>AL8</f>
        <v>1</v>
      </c>
      <c r="DB8">
        <v>0</v>
      </c>
    </row>
    <row r="9" spans="1:106" x14ac:dyDescent="0.2">
      <c r="A9">
        <f>ROW(Source!A32)</f>
        <v>32</v>
      </c>
      <c r="B9">
        <v>35891596</v>
      </c>
      <c r="C9">
        <v>35891839</v>
      </c>
      <c r="D9">
        <v>31518461</v>
      </c>
      <c r="E9">
        <v>1</v>
      </c>
      <c r="F9">
        <v>1</v>
      </c>
      <c r="G9">
        <v>1</v>
      </c>
      <c r="H9">
        <v>2</v>
      </c>
      <c r="I9" t="s">
        <v>347</v>
      </c>
      <c r="J9" t="s">
        <v>348</v>
      </c>
      <c r="K9" t="s">
        <v>349</v>
      </c>
      <c r="L9">
        <v>1368</v>
      </c>
      <c r="N9">
        <v>1011</v>
      </c>
      <c r="O9" t="s">
        <v>350</v>
      </c>
      <c r="P9" t="s">
        <v>350</v>
      </c>
      <c r="Q9">
        <v>1</v>
      </c>
      <c r="W9">
        <v>0</v>
      </c>
      <c r="X9">
        <v>645023554</v>
      </c>
      <c r="Y9">
        <v>0.372</v>
      </c>
      <c r="AA9">
        <v>0</v>
      </c>
      <c r="AB9">
        <v>123</v>
      </c>
      <c r="AC9">
        <v>13.5</v>
      </c>
      <c r="AD9">
        <v>0</v>
      </c>
      <c r="AE9">
        <v>0</v>
      </c>
      <c r="AF9">
        <v>123</v>
      </c>
      <c r="AG9">
        <v>13.5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0.31</v>
      </c>
      <c r="AU9" t="s">
        <v>40</v>
      </c>
      <c r="AV9">
        <v>0</v>
      </c>
      <c r="AW9">
        <v>2</v>
      </c>
      <c r="AX9">
        <v>35891848</v>
      </c>
      <c r="AY9">
        <v>1</v>
      </c>
      <c r="AZ9">
        <v>0</v>
      </c>
      <c r="BA9">
        <v>10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Y9*Source!I32</f>
        <v>6.4281600000000008E-2</v>
      </c>
      <c r="CY9">
        <f>AB9</f>
        <v>123</v>
      </c>
      <c r="CZ9">
        <f>AF9</f>
        <v>123</v>
      </c>
      <c r="DA9">
        <f>AJ9</f>
        <v>1</v>
      </c>
      <c r="DB9">
        <v>0</v>
      </c>
    </row>
    <row r="10" spans="1:106" x14ac:dyDescent="0.2">
      <c r="A10">
        <f>ROW(Source!A32)</f>
        <v>32</v>
      </c>
      <c r="B10">
        <v>35891596</v>
      </c>
      <c r="C10">
        <v>35891839</v>
      </c>
      <c r="D10">
        <v>31519244</v>
      </c>
      <c r="E10">
        <v>1</v>
      </c>
      <c r="F10">
        <v>1</v>
      </c>
      <c r="G10">
        <v>1</v>
      </c>
      <c r="H10">
        <v>2</v>
      </c>
      <c r="I10" t="s">
        <v>351</v>
      </c>
      <c r="J10" t="s">
        <v>352</v>
      </c>
      <c r="K10" t="s">
        <v>353</v>
      </c>
      <c r="L10">
        <v>1368</v>
      </c>
      <c r="N10">
        <v>1011</v>
      </c>
      <c r="O10" t="s">
        <v>350</v>
      </c>
      <c r="P10" t="s">
        <v>350</v>
      </c>
      <c r="Q10">
        <v>1</v>
      </c>
      <c r="W10">
        <v>0</v>
      </c>
      <c r="X10">
        <v>-1718674368</v>
      </c>
      <c r="Y10">
        <v>18.167999999999999</v>
      </c>
      <c r="AA10">
        <v>0</v>
      </c>
      <c r="AB10">
        <v>111.99</v>
      </c>
      <c r="AC10">
        <v>13.5</v>
      </c>
      <c r="AD10">
        <v>0</v>
      </c>
      <c r="AE10">
        <v>0</v>
      </c>
      <c r="AF10">
        <v>111.99</v>
      </c>
      <c r="AG10">
        <v>13.5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15.14</v>
      </c>
      <c r="AU10" t="s">
        <v>40</v>
      </c>
      <c r="AV10">
        <v>0</v>
      </c>
      <c r="AW10">
        <v>2</v>
      </c>
      <c r="AX10">
        <v>35891849</v>
      </c>
      <c r="AY10">
        <v>1</v>
      </c>
      <c r="AZ10">
        <v>0</v>
      </c>
      <c r="BA10">
        <v>11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Y10*Source!I32</f>
        <v>3.1394304000000002</v>
      </c>
      <c r="CY10">
        <f>AB10</f>
        <v>111.99</v>
      </c>
      <c r="CZ10">
        <f>AF10</f>
        <v>111.99</v>
      </c>
      <c r="DA10">
        <f>AJ10</f>
        <v>1</v>
      </c>
      <c r="DB10">
        <v>0</v>
      </c>
    </row>
    <row r="11" spans="1:106" x14ac:dyDescent="0.2">
      <c r="A11">
        <f>ROW(Source!A32)</f>
        <v>32</v>
      </c>
      <c r="B11">
        <v>35891596</v>
      </c>
      <c r="C11">
        <v>35891839</v>
      </c>
      <c r="D11">
        <v>31520575</v>
      </c>
      <c r="E11">
        <v>1</v>
      </c>
      <c r="F11">
        <v>1</v>
      </c>
      <c r="G11">
        <v>1</v>
      </c>
      <c r="H11">
        <v>2</v>
      </c>
      <c r="I11" t="s">
        <v>359</v>
      </c>
      <c r="J11" t="s">
        <v>360</v>
      </c>
      <c r="K11" t="s">
        <v>361</v>
      </c>
      <c r="L11">
        <v>1368</v>
      </c>
      <c r="N11">
        <v>1011</v>
      </c>
      <c r="O11" t="s">
        <v>350</v>
      </c>
      <c r="P11" t="s">
        <v>350</v>
      </c>
      <c r="Q11">
        <v>1</v>
      </c>
      <c r="W11">
        <v>0</v>
      </c>
      <c r="X11">
        <v>529073949</v>
      </c>
      <c r="Y11">
        <v>0.48</v>
      </c>
      <c r="AA11">
        <v>0</v>
      </c>
      <c r="AB11">
        <v>110</v>
      </c>
      <c r="AC11">
        <v>11.6</v>
      </c>
      <c r="AD11">
        <v>0</v>
      </c>
      <c r="AE11">
        <v>0</v>
      </c>
      <c r="AF11">
        <v>110</v>
      </c>
      <c r="AG11">
        <v>11.6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0.4</v>
      </c>
      <c r="AU11" t="s">
        <v>40</v>
      </c>
      <c r="AV11">
        <v>0</v>
      </c>
      <c r="AW11">
        <v>2</v>
      </c>
      <c r="AX11">
        <v>35891850</v>
      </c>
      <c r="AY11">
        <v>1</v>
      </c>
      <c r="AZ11">
        <v>0</v>
      </c>
      <c r="BA11">
        <v>12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Y11*Source!I32</f>
        <v>8.2944000000000004E-2</v>
      </c>
      <c r="CY11">
        <f>AB11</f>
        <v>110</v>
      </c>
      <c r="CZ11">
        <f>AF11</f>
        <v>110</v>
      </c>
      <c r="DA11">
        <f>AJ11</f>
        <v>1</v>
      </c>
      <c r="DB11">
        <v>0</v>
      </c>
    </row>
    <row r="12" spans="1:106" x14ac:dyDescent="0.2">
      <c r="A12">
        <f>ROW(Source!A32)</f>
        <v>32</v>
      </c>
      <c r="B12">
        <v>35891596</v>
      </c>
      <c r="C12">
        <v>35891839</v>
      </c>
      <c r="D12">
        <v>31520646</v>
      </c>
      <c r="E12">
        <v>1</v>
      </c>
      <c r="F12">
        <v>1</v>
      </c>
      <c r="G12">
        <v>1</v>
      </c>
      <c r="H12">
        <v>2</v>
      </c>
      <c r="I12" t="s">
        <v>362</v>
      </c>
      <c r="J12" t="s">
        <v>363</v>
      </c>
      <c r="K12" t="s">
        <v>364</v>
      </c>
      <c r="L12">
        <v>1368</v>
      </c>
      <c r="N12">
        <v>1011</v>
      </c>
      <c r="O12" t="s">
        <v>350</v>
      </c>
      <c r="P12" t="s">
        <v>350</v>
      </c>
      <c r="Q12">
        <v>1</v>
      </c>
      <c r="W12">
        <v>0</v>
      </c>
      <c r="X12">
        <v>1372534845</v>
      </c>
      <c r="Y12">
        <v>16.475999999999999</v>
      </c>
      <c r="AA12">
        <v>0</v>
      </c>
      <c r="AB12">
        <v>65.709999999999994</v>
      </c>
      <c r="AC12">
        <v>11.6</v>
      </c>
      <c r="AD12">
        <v>0</v>
      </c>
      <c r="AE12">
        <v>0</v>
      </c>
      <c r="AF12">
        <v>65.709999999999994</v>
      </c>
      <c r="AG12">
        <v>11.6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13.73</v>
      </c>
      <c r="AU12" t="s">
        <v>40</v>
      </c>
      <c r="AV12">
        <v>0</v>
      </c>
      <c r="AW12">
        <v>2</v>
      </c>
      <c r="AX12">
        <v>35891851</v>
      </c>
      <c r="AY12">
        <v>1</v>
      </c>
      <c r="AZ12">
        <v>0</v>
      </c>
      <c r="BA12">
        <v>13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Y12*Source!I32</f>
        <v>2.8470528000000002</v>
      </c>
      <c r="CY12">
        <f>AB12</f>
        <v>65.709999999999994</v>
      </c>
      <c r="CZ12">
        <f>AF12</f>
        <v>65.709999999999994</v>
      </c>
      <c r="DA12">
        <f>AJ12</f>
        <v>1</v>
      </c>
      <c r="DB12">
        <v>0</v>
      </c>
    </row>
    <row r="13" spans="1:106" x14ac:dyDescent="0.2">
      <c r="A13">
        <f>ROW(Source!A34)</f>
        <v>34</v>
      </c>
      <c r="B13">
        <v>35891596</v>
      </c>
      <c r="C13">
        <v>35891853</v>
      </c>
      <c r="D13">
        <v>31703848</v>
      </c>
      <c r="E13">
        <v>1</v>
      </c>
      <c r="F13">
        <v>1</v>
      </c>
      <c r="G13">
        <v>1</v>
      </c>
      <c r="H13">
        <v>1</v>
      </c>
      <c r="I13" t="s">
        <v>365</v>
      </c>
      <c r="J13" t="s">
        <v>3</v>
      </c>
      <c r="K13" t="s">
        <v>366</v>
      </c>
      <c r="L13">
        <v>1191</v>
      </c>
      <c r="N13">
        <v>1013</v>
      </c>
      <c r="O13" t="s">
        <v>344</v>
      </c>
      <c r="P13" t="s">
        <v>344</v>
      </c>
      <c r="Q13">
        <v>1</v>
      </c>
      <c r="W13">
        <v>0</v>
      </c>
      <c r="X13">
        <v>735429535</v>
      </c>
      <c r="Y13">
        <v>184.79999999999998</v>
      </c>
      <c r="AA13">
        <v>0</v>
      </c>
      <c r="AB13">
        <v>0</v>
      </c>
      <c r="AC13">
        <v>0</v>
      </c>
      <c r="AD13">
        <v>7.8</v>
      </c>
      <c r="AE13">
        <v>0</v>
      </c>
      <c r="AF13">
        <v>0</v>
      </c>
      <c r="AG13">
        <v>0</v>
      </c>
      <c r="AH13">
        <v>7.8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154</v>
      </c>
      <c r="AU13" t="s">
        <v>40</v>
      </c>
      <c r="AV13">
        <v>1</v>
      </c>
      <c r="AW13">
        <v>2</v>
      </c>
      <c r="AX13">
        <v>35891855</v>
      </c>
      <c r="AY13">
        <v>1</v>
      </c>
      <c r="AZ13">
        <v>0</v>
      </c>
      <c r="BA13">
        <v>14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Y13*Source!I34</f>
        <v>29.567999999999998</v>
      </c>
      <c r="CY13">
        <f>AD13</f>
        <v>7.8</v>
      </c>
      <c r="CZ13">
        <f>AH13</f>
        <v>7.8</v>
      </c>
      <c r="DA13">
        <f>AL13</f>
        <v>1</v>
      </c>
      <c r="DB13">
        <v>0</v>
      </c>
    </row>
    <row r="14" spans="1:106" x14ac:dyDescent="0.2">
      <c r="A14">
        <f>ROW(Source!A35)</f>
        <v>35</v>
      </c>
      <c r="B14">
        <v>35891596</v>
      </c>
      <c r="C14">
        <v>35891856</v>
      </c>
      <c r="D14">
        <v>31709886</v>
      </c>
      <c r="E14">
        <v>1</v>
      </c>
      <c r="F14">
        <v>1</v>
      </c>
      <c r="G14">
        <v>1</v>
      </c>
      <c r="H14">
        <v>1</v>
      </c>
      <c r="I14" t="s">
        <v>367</v>
      </c>
      <c r="J14" t="s">
        <v>3</v>
      </c>
      <c r="K14" t="s">
        <v>368</v>
      </c>
      <c r="L14">
        <v>1191</v>
      </c>
      <c r="N14">
        <v>1013</v>
      </c>
      <c r="O14" t="s">
        <v>344</v>
      </c>
      <c r="P14" t="s">
        <v>344</v>
      </c>
      <c r="Q14">
        <v>1</v>
      </c>
      <c r="W14">
        <v>0</v>
      </c>
      <c r="X14">
        <v>1069510174</v>
      </c>
      <c r="Y14">
        <v>6.3599999999999994</v>
      </c>
      <c r="AA14">
        <v>0</v>
      </c>
      <c r="AB14">
        <v>0</v>
      </c>
      <c r="AC14">
        <v>0</v>
      </c>
      <c r="AD14">
        <v>9.6199999999999992</v>
      </c>
      <c r="AE14">
        <v>0</v>
      </c>
      <c r="AF14">
        <v>0</v>
      </c>
      <c r="AG14">
        <v>0</v>
      </c>
      <c r="AH14">
        <v>9.6199999999999992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5.3</v>
      </c>
      <c r="AU14" t="s">
        <v>40</v>
      </c>
      <c r="AV14">
        <v>1</v>
      </c>
      <c r="AW14">
        <v>2</v>
      </c>
      <c r="AX14">
        <v>35891861</v>
      </c>
      <c r="AY14">
        <v>1</v>
      </c>
      <c r="AZ14">
        <v>0</v>
      </c>
      <c r="BA14">
        <v>15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Y14*Source!I35</f>
        <v>3.1799999999999997</v>
      </c>
      <c r="CY14">
        <f>AD14</f>
        <v>9.6199999999999992</v>
      </c>
      <c r="CZ14">
        <f>AH14</f>
        <v>9.6199999999999992</v>
      </c>
      <c r="DA14">
        <f>AL14</f>
        <v>1</v>
      </c>
      <c r="DB14">
        <v>0</v>
      </c>
    </row>
    <row r="15" spans="1:106" x14ac:dyDescent="0.2">
      <c r="A15">
        <f>ROW(Source!A35)</f>
        <v>35</v>
      </c>
      <c r="B15">
        <v>35891596</v>
      </c>
      <c r="C15">
        <v>35891856</v>
      </c>
      <c r="D15">
        <v>31703727</v>
      </c>
      <c r="E15">
        <v>1</v>
      </c>
      <c r="F15">
        <v>1</v>
      </c>
      <c r="G15">
        <v>1</v>
      </c>
      <c r="H15">
        <v>1</v>
      </c>
      <c r="I15" t="s">
        <v>345</v>
      </c>
      <c r="J15" t="s">
        <v>3</v>
      </c>
      <c r="K15" t="s">
        <v>346</v>
      </c>
      <c r="L15">
        <v>1191</v>
      </c>
      <c r="N15">
        <v>1013</v>
      </c>
      <c r="O15" t="s">
        <v>344</v>
      </c>
      <c r="P15" t="s">
        <v>344</v>
      </c>
      <c r="Q15">
        <v>1</v>
      </c>
      <c r="W15">
        <v>0</v>
      </c>
      <c r="X15">
        <v>-1417349443</v>
      </c>
      <c r="Y15">
        <v>3.9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3.9</v>
      </c>
      <c r="AU15" t="s">
        <v>3</v>
      </c>
      <c r="AV15">
        <v>2</v>
      </c>
      <c r="AW15">
        <v>2</v>
      </c>
      <c r="AX15">
        <v>35891862</v>
      </c>
      <c r="AY15">
        <v>1</v>
      </c>
      <c r="AZ15">
        <v>2048</v>
      </c>
      <c r="BA15">
        <v>16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Y15*Source!I35</f>
        <v>1.95</v>
      </c>
      <c r="CY15">
        <f>AD15</f>
        <v>0</v>
      </c>
      <c r="CZ15">
        <f>AH15</f>
        <v>0</v>
      </c>
      <c r="DA15">
        <f>AL15</f>
        <v>1</v>
      </c>
      <c r="DB15">
        <v>0</v>
      </c>
    </row>
    <row r="16" spans="1:106" x14ac:dyDescent="0.2">
      <c r="A16">
        <f>ROW(Source!A35)</f>
        <v>35</v>
      </c>
      <c r="B16">
        <v>35891596</v>
      </c>
      <c r="C16">
        <v>35891856</v>
      </c>
      <c r="D16">
        <v>31520646</v>
      </c>
      <c r="E16">
        <v>1</v>
      </c>
      <c r="F16">
        <v>1</v>
      </c>
      <c r="G16">
        <v>1</v>
      </c>
      <c r="H16">
        <v>2</v>
      </c>
      <c r="I16" t="s">
        <v>362</v>
      </c>
      <c r="J16" t="s">
        <v>363</v>
      </c>
      <c r="K16" t="s">
        <v>364</v>
      </c>
      <c r="L16">
        <v>1368</v>
      </c>
      <c r="N16">
        <v>1011</v>
      </c>
      <c r="O16" t="s">
        <v>350</v>
      </c>
      <c r="P16" t="s">
        <v>350</v>
      </c>
      <c r="Q16">
        <v>1</v>
      </c>
      <c r="W16">
        <v>0</v>
      </c>
      <c r="X16">
        <v>1372534845</v>
      </c>
      <c r="Y16">
        <v>4.68</v>
      </c>
      <c r="AA16">
        <v>0</v>
      </c>
      <c r="AB16">
        <v>65.709999999999994</v>
      </c>
      <c r="AC16">
        <v>11.6</v>
      </c>
      <c r="AD16">
        <v>0</v>
      </c>
      <c r="AE16">
        <v>0</v>
      </c>
      <c r="AF16">
        <v>65.709999999999994</v>
      </c>
      <c r="AG16">
        <v>11.6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3.9</v>
      </c>
      <c r="AU16" t="s">
        <v>40</v>
      </c>
      <c r="AV16">
        <v>0</v>
      </c>
      <c r="AW16">
        <v>2</v>
      </c>
      <c r="AX16">
        <v>35891863</v>
      </c>
      <c r="AY16">
        <v>1</v>
      </c>
      <c r="AZ16">
        <v>0</v>
      </c>
      <c r="BA16">
        <v>17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Y16*Source!I35</f>
        <v>2.34</v>
      </c>
      <c r="CY16">
        <f>AB16</f>
        <v>65.709999999999994</v>
      </c>
      <c r="CZ16">
        <f>AF16</f>
        <v>65.709999999999994</v>
      </c>
      <c r="DA16">
        <f>AJ16</f>
        <v>1</v>
      </c>
      <c r="DB16">
        <v>0</v>
      </c>
    </row>
    <row r="17" spans="1:106" x14ac:dyDescent="0.2">
      <c r="A17">
        <f>ROW(Source!A35)</f>
        <v>35</v>
      </c>
      <c r="B17">
        <v>35891596</v>
      </c>
      <c r="C17">
        <v>35891856</v>
      </c>
      <c r="D17">
        <v>31443147</v>
      </c>
      <c r="E17">
        <v>1</v>
      </c>
      <c r="F17">
        <v>1</v>
      </c>
      <c r="G17">
        <v>1</v>
      </c>
      <c r="H17">
        <v>3</v>
      </c>
      <c r="I17" t="s">
        <v>79</v>
      </c>
      <c r="J17" t="s">
        <v>81</v>
      </c>
      <c r="K17" t="s">
        <v>80</v>
      </c>
      <c r="L17">
        <v>1339</v>
      </c>
      <c r="N17">
        <v>1007</v>
      </c>
      <c r="O17" t="s">
        <v>50</v>
      </c>
      <c r="P17" t="s">
        <v>50</v>
      </c>
      <c r="Q17">
        <v>1</v>
      </c>
      <c r="W17">
        <v>0</v>
      </c>
      <c r="X17">
        <v>-35545874</v>
      </c>
      <c r="Y17">
        <v>4</v>
      </c>
      <c r="AA17">
        <v>569.17999999999995</v>
      </c>
      <c r="AB17">
        <v>0</v>
      </c>
      <c r="AC17">
        <v>0</v>
      </c>
      <c r="AD17">
        <v>0</v>
      </c>
      <c r="AE17">
        <v>55.26</v>
      </c>
      <c r="AF17">
        <v>0</v>
      </c>
      <c r="AG17">
        <v>0</v>
      </c>
      <c r="AH17">
        <v>0</v>
      </c>
      <c r="AI17">
        <v>10.3</v>
      </c>
      <c r="AJ17">
        <v>1</v>
      </c>
      <c r="AK17">
        <v>1</v>
      </c>
      <c r="AL17">
        <v>1</v>
      </c>
      <c r="AN17">
        <v>0</v>
      </c>
      <c r="AO17">
        <v>0</v>
      </c>
      <c r="AP17">
        <v>0</v>
      </c>
      <c r="AQ17">
        <v>0</v>
      </c>
      <c r="AR17">
        <v>0</v>
      </c>
      <c r="AS17" t="s">
        <v>3</v>
      </c>
      <c r="AT17">
        <v>4</v>
      </c>
      <c r="AU17" t="s">
        <v>3</v>
      </c>
      <c r="AV17">
        <v>0</v>
      </c>
      <c r="AW17">
        <v>1</v>
      </c>
      <c r="AX17">
        <v>-1</v>
      </c>
      <c r="AY17">
        <v>0</v>
      </c>
      <c r="AZ17">
        <v>0</v>
      </c>
      <c r="BA17" t="s">
        <v>3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Y17*Source!I35</f>
        <v>2</v>
      </c>
      <c r="CY17">
        <f>AA17</f>
        <v>569.17999999999995</v>
      </c>
      <c r="CZ17">
        <f>AE17</f>
        <v>55.26</v>
      </c>
      <c r="DA17">
        <f>AI17</f>
        <v>10.3</v>
      </c>
      <c r="DB17">
        <v>0</v>
      </c>
    </row>
    <row r="18" spans="1:106" x14ac:dyDescent="0.2">
      <c r="A18">
        <f>ROW(Source!A35)</f>
        <v>35</v>
      </c>
      <c r="B18">
        <v>35891596</v>
      </c>
      <c r="C18">
        <v>35891856</v>
      </c>
      <c r="D18">
        <v>31435925</v>
      </c>
      <c r="E18">
        <v>17</v>
      </c>
      <c r="F18">
        <v>1</v>
      </c>
      <c r="G18">
        <v>1</v>
      </c>
      <c r="H18">
        <v>3</v>
      </c>
      <c r="I18" t="s">
        <v>369</v>
      </c>
      <c r="J18" t="s">
        <v>3</v>
      </c>
      <c r="K18" t="s">
        <v>370</v>
      </c>
      <c r="L18">
        <v>1374</v>
      </c>
      <c r="N18">
        <v>1013</v>
      </c>
      <c r="O18" t="s">
        <v>371</v>
      </c>
      <c r="P18" t="s">
        <v>371</v>
      </c>
      <c r="Q18">
        <v>1</v>
      </c>
      <c r="W18">
        <v>0</v>
      </c>
      <c r="X18">
        <v>-1731369543</v>
      </c>
      <c r="Y18">
        <v>1.02</v>
      </c>
      <c r="AA18">
        <v>1</v>
      </c>
      <c r="AB18">
        <v>0</v>
      </c>
      <c r="AC18">
        <v>0</v>
      </c>
      <c r="AD18">
        <v>0</v>
      </c>
      <c r="AE18">
        <v>1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1.02</v>
      </c>
      <c r="AU18" t="s">
        <v>3</v>
      </c>
      <c r="AV18">
        <v>0</v>
      </c>
      <c r="AW18">
        <v>2</v>
      </c>
      <c r="AX18">
        <v>35891864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Y18*Source!I35</f>
        <v>0.51</v>
      </c>
      <c r="CY18">
        <f>AA18</f>
        <v>1</v>
      </c>
      <c r="CZ18">
        <f>AE18</f>
        <v>1</v>
      </c>
      <c r="DA18">
        <f>AI18</f>
        <v>1</v>
      </c>
      <c r="DB18">
        <v>0</v>
      </c>
    </row>
    <row r="19" spans="1:106" x14ac:dyDescent="0.2">
      <c r="A19">
        <f>ROW(Source!A37)</f>
        <v>37</v>
      </c>
      <c r="B19">
        <v>35891596</v>
      </c>
      <c r="C19">
        <v>35891929</v>
      </c>
      <c r="D19">
        <v>31709886</v>
      </c>
      <c r="E19">
        <v>1</v>
      </c>
      <c r="F19">
        <v>1</v>
      </c>
      <c r="G19">
        <v>1</v>
      </c>
      <c r="H19">
        <v>1</v>
      </c>
      <c r="I19" t="s">
        <v>367</v>
      </c>
      <c r="J19" t="s">
        <v>3</v>
      </c>
      <c r="K19" t="s">
        <v>368</v>
      </c>
      <c r="L19">
        <v>1191</v>
      </c>
      <c r="N19">
        <v>1013</v>
      </c>
      <c r="O19" t="s">
        <v>344</v>
      </c>
      <c r="P19" t="s">
        <v>344</v>
      </c>
      <c r="Q19">
        <v>1</v>
      </c>
      <c r="W19">
        <v>0</v>
      </c>
      <c r="X19">
        <v>1069510174</v>
      </c>
      <c r="Y19">
        <v>21.12</v>
      </c>
      <c r="AA19">
        <v>0</v>
      </c>
      <c r="AB19">
        <v>0</v>
      </c>
      <c r="AC19">
        <v>0</v>
      </c>
      <c r="AD19">
        <v>9.6199999999999992</v>
      </c>
      <c r="AE19">
        <v>0</v>
      </c>
      <c r="AF19">
        <v>0</v>
      </c>
      <c r="AG19">
        <v>0</v>
      </c>
      <c r="AH19">
        <v>9.6199999999999992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17.600000000000001</v>
      </c>
      <c r="AU19" t="s">
        <v>40</v>
      </c>
      <c r="AV19">
        <v>1</v>
      </c>
      <c r="AW19">
        <v>2</v>
      </c>
      <c r="AX19">
        <v>35891943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Y19*Source!I37</f>
        <v>10.56</v>
      </c>
      <c r="CY19">
        <f>AD19</f>
        <v>9.6199999999999992</v>
      </c>
      <c r="CZ19">
        <f>AH19</f>
        <v>9.6199999999999992</v>
      </c>
      <c r="DA19">
        <f>AL19</f>
        <v>1</v>
      </c>
      <c r="DB19">
        <v>0</v>
      </c>
    </row>
    <row r="20" spans="1:106" x14ac:dyDescent="0.2">
      <c r="A20">
        <f>ROW(Source!A37)</f>
        <v>37</v>
      </c>
      <c r="B20">
        <v>35891596</v>
      </c>
      <c r="C20">
        <v>35891929</v>
      </c>
      <c r="D20">
        <v>31703727</v>
      </c>
      <c r="E20">
        <v>1</v>
      </c>
      <c r="F20">
        <v>1</v>
      </c>
      <c r="G20">
        <v>1</v>
      </c>
      <c r="H20">
        <v>1</v>
      </c>
      <c r="I20" t="s">
        <v>345</v>
      </c>
      <c r="J20" t="s">
        <v>3</v>
      </c>
      <c r="K20" t="s">
        <v>346</v>
      </c>
      <c r="L20">
        <v>1191</v>
      </c>
      <c r="N20">
        <v>1013</v>
      </c>
      <c r="O20" t="s">
        <v>344</v>
      </c>
      <c r="P20" t="s">
        <v>344</v>
      </c>
      <c r="Q20">
        <v>1</v>
      </c>
      <c r="W20">
        <v>0</v>
      </c>
      <c r="X20">
        <v>-1417349443</v>
      </c>
      <c r="Y20">
        <v>2.64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2.64</v>
      </c>
      <c r="AU20" t="s">
        <v>3</v>
      </c>
      <c r="AV20">
        <v>2</v>
      </c>
      <c r="AW20">
        <v>2</v>
      </c>
      <c r="AX20">
        <v>35891944</v>
      </c>
      <c r="AY20">
        <v>1</v>
      </c>
      <c r="AZ20">
        <v>2048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Y20*Source!I37</f>
        <v>1.32</v>
      </c>
      <c r="CY20">
        <f>AD20</f>
        <v>0</v>
      </c>
      <c r="CZ20">
        <f>AH20</f>
        <v>0</v>
      </c>
      <c r="DA20">
        <f>AL20</f>
        <v>1</v>
      </c>
      <c r="DB20">
        <v>0</v>
      </c>
    </row>
    <row r="21" spans="1:106" x14ac:dyDescent="0.2">
      <c r="A21">
        <f>ROW(Source!A37)</f>
        <v>37</v>
      </c>
      <c r="B21">
        <v>35891596</v>
      </c>
      <c r="C21">
        <v>35891929</v>
      </c>
      <c r="D21">
        <v>31519244</v>
      </c>
      <c r="E21">
        <v>1</v>
      </c>
      <c r="F21">
        <v>1</v>
      </c>
      <c r="G21">
        <v>1</v>
      </c>
      <c r="H21">
        <v>2</v>
      </c>
      <c r="I21" t="s">
        <v>351</v>
      </c>
      <c r="J21" t="s">
        <v>352</v>
      </c>
      <c r="K21" t="s">
        <v>353</v>
      </c>
      <c r="L21">
        <v>1368</v>
      </c>
      <c r="N21">
        <v>1011</v>
      </c>
      <c r="O21" t="s">
        <v>350</v>
      </c>
      <c r="P21" t="s">
        <v>350</v>
      </c>
      <c r="Q21">
        <v>1</v>
      </c>
      <c r="W21">
        <v>0</v>
      </c>
      <c r="X21">
        <v>-1718674368</v>
      </c>
      <c r="Y21">
        <v>1.5840000000000001</v>
      </c>
      <c r="AA21">
        <v>0</v>
      </c>
      <c r="AB21">
        <v>111.99</v>
      </c>
      <c r="AC21">
        <v>13.5</v>
      </c>
      <c r="AD21">
        <v>0</v>
      </c>
      <c r="AE21">
        <v>0</v>
      </c>
      <c r="AF21">
        <v>111.99</v>
      </c>
      <c r="AG21">
        <v>13.5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1.32</v>
      </c>
      <c r="AU21" t="s">
        <v>40</v>
      </c>
      <c r="AV21">
        <v>0</v>
      </c>
      <c r="AW21">
        <v>2</v>
      </c>
      <c r="AX21">
        <v>35891945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Y21*Source!I37</f>
        <v>0.79200000000000004</v>
      </c>
      <c r="CY21">
        <f>AB21</f>
        <v>111.99</v>
      </c>
      <c r="CZ21">
        <f>AF21</f>
        <v>111.99</v>
      </c>
      <c r="DA21">
        <f>AJ21</f>
        <v>1</v>
      </c>
      <c r="DB21">
        <v>0</v>
      </c>
    </row>
    <row r="22" spans="1:106" x14ac:dyDescent="0.2">
      <c r="A22">
        <f>ROW(Source!A37)</f>
        <v>37</v>
      </c>
      <c r="B22">
        <v>35891596</v>
      </c>
      <c r="C22">
        <v>35891929</v>
      </c>
      <c r="D22">
        <v>31519376</v>
      </c>
      <c r="E22">
        <v>1</v>
      </c>
      <c r="F22">
        <v>1</v>
      </c>
      <c r="G22">
        <v>1</v>
      </c>
      <c r="H22">
        <v>2</v>
      </c>
      <c r="I22" t="s">
        <v>372</v>
      </c>
      <c r="J22" t="s">
        <v>373</v>
      </c>
      <c r="K22" t="s">
        <v>374</v>
      </c>
      <c r="L22">
        <v>1368</v>
      </c>
      <c r="N22">
        <v>1011</v>
      </c>
      <c r="O22" t="s">
        <v>350</v>
      </c>
      <c r="P22" t="s">
        <v>350</v>
      </c>
      <c r="Q22">
        <v>1</v>
      </c>
      <c r="W22">
        <v>0</v>
      </c>
      <c r="X22">
        <v>-1692889495</v>
      </c>
      <c r="Y22">
        <v>4.7640000000000002</v>
      </c>
      <c r="AA22">
        <v>0</v>
      </c>
      <c r="AB22">
        <v>0.9</v>
      </c>
      <c r="AC22">
        <v>0</v>
      </c>
      <c r="AD22">
        <v>0</v>
      </c>
      <c r="AE22">
        <v>0</v>
      </c>
      <c r="AF22">
        <v>0.9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3.97</v>
      </c>
      <c r="AU22" t="s">
        <v>40</v>
      </c>
      <c r="AV22">
        <v>0</v>
      </c>
      <c r="AW22">
        <v>2</v>
      </c>
      <c r="AX22">
        <v>35891946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Y22*Source!I37</f>
        <v>2.3820000000000001</v>
      </c>
      <c r="CY22">
        <f>AB22</f>
        <v>0.9</v>
      </c>
      <c r="CZ22">
        <f>AF22</f>
        <v>0.9</v>
      </c>
      <c r="DA22">
        <f>AJ22</f>
        <v>1</v>
      </c>
      <c r="DB22">
        <v>0</v>
      </c>
    </row>
    <row r="23" spans="1:106" x14ac:dyDescent="0.2">
      <c r="A23">
        <f>ROW(Source!A37)</f>
        <v>37</v>
      </c>
      <c r="B23">
        <v>35891596</v>
      </c>
      <c r="C23">
        <v>35891929</v>
      </c>
      <c r="D23">
        <v>31519442</v>
      </c>
      <c r="E23">
        <v>1</v>
      </c>
      <c r="F23">
        <v>1</v>
      </c>
      <c r="G23">
        <v>1</v>
      </c>
      <c r="H23">
        <v>2</v>
      </c>
      <c r="I23" t="s">
        <v>375</v>
      </c>
      <c r="J23" t="s">
        <v>376</v>
      </c>
      <c r="K23" t="s">
        <v>377</v>
      </c>
      <c r="L23">
        <v>1368</v>
      </c>
      <c r="N23">
        <v>1011</v>
      </c>
      <c r="O23" t="s">
        <v>350</v>
      </c>
      <c r="P23" t="s">
        <v>350</v>
      </c>
      <c r="Q23">
        <v>1</v>
      </c>
      <c r="W23">
        <v>0</v>
      </c>
      <c r="X23">
        <v>1544661785</v>
      </c>
      <c r="Y23">
        <v>4.7640000000000002</v>
      </c>
      <c r="AA23">
        <v>0</v>
      </c>
      <c r="AB23">
        <v>6.9</v>
      </c>
      <c r="AC23">
        <v>0</v>
      </c>
      <c r="AD23">
        <v>0</v>
      </c>
      <c r="AE23">
        <v>0</v>
      </c>
      <c r="AF23">
        <v>6.9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3.97</v>
      </c>
      <c r="AU23" t="s">
        <v>40</v>
      </c>
      <c r="AV23">
        <v>0</v>
      </c>
      <c r="AW23">
        <v>2</v>
      </c>
      <c r="AX23">
        <v>35891947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Y23*Source!I37</f>
        <v>2.3820000000000001</v>
      </c>
      <c r="CY23">
        <f>AB23</f>
        <v>6.9</v>
      </c>
      <c r="CZ23">
        <f>AF23</f>
        <v>6.9</v>
      </c>
      <c r="DA23">
        <f>AJ23</f>
        <v>1</v>
      </c>
      <c r="DB23">
        <v>0</v>
      </c>
    </row>
    <row r="24" spans="1:106" x14ac:dyDescent="0.2">
      <c r="A24">
        <f>ROW(Source!A37)</f>
        <v>37</v>
      </c>
      <c r="B24">
        <v>35891596</v>
      </c>
      <c r="C24">
        <v>35891929</v>
      </c>
      <c r="D24">
        <v>31520646</v>
      </c>
      <c r="E24">
        <v>1</v>
      </c>
      <c r="F24">
        <v>1</v>
      </c>
      <c r="G24">
        <v>1</v>
      </c>
      <c r="H24">
        <v>2</v>
      </c>
      <c r="I24" t="s">
        <v>362</v>
      </c>
      <c r="J24" t="s">
        <v>363</v>
      </c>
      <c r="K24" t="s">
        <v>364</v>
      </c>
      <c r="L24">
        <v>1368</v>
      </c>
      <c r="N24">
        <v>1011</v>
      </c>
      <c r="O24" t="s">
        <v>350</v>
      </c>
      <c r="P24" t="s">
        <v>350</v>
      </c>
      <c r="Q24">
        <v>1</v>
      </c>
      <c r="W24">
        <v>0</v>
      </c>
      <c r="X24">
        <v>1372534845</v>
      </c>
      <c r="Y24">
        <v>1.5840000000000001</v>
      </c>
      <c r="AA24">
        <v>0</v>
      </c>
      <c r="AB24">
        <v>65.709999999999994</v>
      </c>
      <c r="AC24">
        <v>11.6</v>
      </c>
      <c r="AD24">
        <v>0</v>
      </c>
      <c r="AE24">
        <v>0</v>
      </c>
      <c r="AF24">
        <v>65.709999999999994</v>
      </c>
      <c r="AG24">
        <v>11.6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1.32</v>
      </c>
      <c r="AU24" t="s">
        <v>40</v>
      </c>
      <c r="AV24">
        <v>0</v>
      </c>
      <c r="AW24">
        <v>2</v>
      </c>
      <c r="AX24">
        <v>35891948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Y24*Source!I37</f>
        <v>0.79200000000000004</v>
      </c>
      <c r="CY24">
        <f>AB24</f>
        <v>65.709999999999994</v>
      </c>
      <c r="CZ24">
        <f>AF24</f>
        <v>65.709999999999994</v>
      </c>
      <c r="DA24">
        <f>AJ24</f>
        <v>1</v>
      </c>
      <c r="DB24">
        <v>0</v>
      </c>
    </row>
    <row r="25" spans="1:106" x14ac:dyDescent="0.2">
      <c r="A25">
        <f>ROW(Source!A37)</f>
        <v>37</v>
      </c>
      <c r="B25">
        <v>35891596</v>
      </c>
      <c r="C25">
        <v>35891929</v>
      </c>
      <c r="D25">
        <v>31438964</v>
      </c>
      <c r="E25">
        <v>1</v>
      </c>
      <c r="F25">
        <v>1</v>
      </c>
      <c r="G25">
        <v>1</v>
      </c>
      <c r="H25">
        <v>3</v>
      </c>
      <c r="I25" t="s">
        <v>378</v>
      </c>
      <c r="J25" t="s">
        <v>379</v>
      </c>
      <c r="K25" t="s">
        <v>380</v>
      </c>
      <c r="L25">
        <v>1308</v>
      </c>
      <c r="N25">
        <v>1003</v>
      </c>
      <c r="O25" t="s">
        <v>73</v>
      </c>
      <c r="P25" t="s">
        <v>73</v>
      </c>
      <c r="Q25">
        <v>100</v>
      </c>
      <c r="W25">
        <v>0</v>
      </c>
      <c r="X25">
        <v>568244124</v>
      </c>
      <c r="Y25">
        <v>9.5999999999999992E-3</v>
      </c>
      <c r="AA25">
        <v>538.79999999999995</v>
      </c>
      <c r="AB25">
        <v>0</v>
      </c>
      <c r="AC25">
        <v>0</v>
      </c>
      <c r="AD25">
        <v>0</v>
      </c>
      <c r="AE25">
        <v>120</v>
      </c>
      <c r="AF25">
        <v>0</v>
      </c>
      <c r="AG25">
        <v>0</v>
      </c>
      <c r="AH25">
        <v>0</v>
      </c>
      <c r="AI25">
        <v>4.49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9.5999999999999992E-3</v>
      </c>
      <c r="AU25" t="s">
        <v>3</v>
      </c>
      <c r="AV25">
        <v>0</v>
      </c>
      <c r="AW25">
        <v>2</v>
      </c>
      <c r="AX25">
        <v>35891949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Y25*Source!I37</f>
        <v>4.7999999999999996E-3</v>
      </c>
      <c r="CY25">
        <f t="shared" ref="CY25:CY31" si="0">AA25</f>
        <v>538.79999999999995</v>
      </c>
      <c r="CZ25">
        <f t="shared" ref="CZ25:CZ31" si="1">AE25</f>
        <v>120</v>
      </c>
      <c r="DA25">
        <f t="shared" ref="DA25:DA31" si="2">AI25</f>
        <v>4.49</v>
      </c>
      <c r="DB25">
        <v>0</v>
      </c>
    </row>
    <row r="26" spans="1:106" x14ac:dyDescent="0.2">
      <c r="A26">
        <f>ROW(Source!A37)</f>
        <v>37</v>
      </c>
      <c r="B26">
        <v>35891596</v>
      </c>
      <c r="C26">
        <v>35891929</v>
      </c>
      <c r="D26">
        <v>31462868</v>
      </c>
      <c r="E26">
        <v>1</v>
      </c>
      <c r="F26">
        <v>1</v>
      </c>
      <c r="G26">
        <v>1</v>
      </c>
      <c r="H26">
        <v>3</v>
      </c>
      <c r="I26" t="s">
        <v>381</v>
      </c>
      <c r="J26" t="s">
        <v>382</v>
      </c>
      <c r="K26" t="s">
        <v>383</v>
      </c>
      <c r="L26">
        <v>1348</v>
      </c>
      <c r="N26">
        <v>1009</v>
      </c>
      <c r="O26" t="s">
        <v>384</v>
      </c>
      <c r="P26" t="s">
        <v>384</v>
      </c>
      <c r="Q26">
        <v>1000</v>
      </c>
      <c r="W26">
        <v>0</v>
      </c>
      <c r="X26">
        <v>-1598896989</v>
      </c>
      <c r="Y26">
        <v>1E-3</v>
      </c>
      <c r="AA26">
        <v>39200</v>
      </c>
      <c r="AB26">
        <v>0</v>
      </c>
      <c r="AC26">
        <v>0</v>
      </c>
      <c r="AD26">
        <v>0</v>
      </c>
      <c r="AE26">
        <v>5000</v>
      </c>
      <c r="AF26">
        <v>0</v>
      </c>
      <c r="AG26">
        <v>0</v>
      </c>
      <c r="AH26">
        <v>0</v>
      </c>
      <c r="AI26">
        <v>7.84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3</v>
      </c>
      <c r="AT26">
        <v>1E-3</v>
      </c>
      <c r="AU26" t="s">
        <v>3</v>
      </c>
      <c r="AV26">
        <v>0</v>
      </c>
      <c r="AW26">
        <v>2</v>
      </c>
      <c r="AX26">
        <v>35891950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Y26*Source!I37</f>
        <v>5.0000000000000001E-4</v>
      </c>
      <c r="CY26">
        <f t="shared" si="0"/>
        <v>39200</v>
      </c>
      <c r="CZ26">
        <f t="shared" si="1"/>
        <v>5000</v>
      </c>
      <c r="DA26">
        <f t="shared" si="2"/>
        <v>7.84</v>
      </c>
      <c r="DB26">
        <v>0</v>
      </c>
    </row>
    <row r="27" spans="1:106" x14ac:dyDescent="0.2">
      <c r="A27">
        <f>ROW(Source!A37)</f>
        <v>37</v>
      </c>
      <c r="B27">
        <v>35891596</v>
      </c>
      <c r="C27">
        <v>35891929</v>
      </c>
      <c r="D27">
        <v>31462957</v>
      </c>
      <c r="E27">
        <v>1</v>
      </c>
      <c r="F27">
        <v>1</v>
      </c>
      <c r="G27">
        <v>1</v>
      </c>
      <c r="H27">
        <v>3</v>
      </c>
      <c r="I27" t="s">
        <v>385</v>
      </c>
      <c r="J27" t="s">
        <v>386</v>
      </c>
      <c r="K27" t="s">
        <v>387</v>
      </c>
      <c r="L27">
        <v>1348</v>
      </c>
      <c r="N27">
        <v>1009</v>
      </c>
      <c r="O27" t="s">
        <v>384</v>
      </c>
      <c r="P27" t="s">
        <v>384</v>
      </c>
      <c r="Q27">
        <v>1000</v>
      </c>
      <c r="W27">
        <v>0</v>
      </c>
      <c r="X27">
        <v>-173476442</v>
      </c>
      <c r="Y27">
        <v>0.01</v>
      </c>
      <c r="AA27">
        <v>36595.050000000003</v>
      </c>
      <c r="AB27">
        <v>0</v>
      </c>
      <c r="AC27">
        <v>0</v>
      </c>
      <c r="AD27">
        <v>0</v>
      </c>
      <c r="AE27">
        <v>5763</v>
      </c>
      <c r="AF27">
        <v>0</v>
      </c>
      <c r="AG27">
        <v>0</v>
      </c>
      <c r="AH27">
        <v>0</v>
      </c>
      <c r="AI27">
        <v>6.35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3</v>
      </c>
      <c r="AT27">
        <v>0.01</v>
      </c>
      <c r="AU27" t="s">
        <v>3</v>
      </c>
      <c r="AV27">
        <v>0</v>
      </c>
      <c r="AW27">
        <v>2</v>
      </c>
      <c r="AX27">
        <v>35891951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Y27*Source!I37</f>
        <v>5.0000000000000001E-3</v>
      </c>
      <c r="CY27">
        <f t="shared" si="0"/>
        <v>36595.050000000003</v>
      </c>
      <c r="CZ27">
        <f t="shared" si="1"/>
        <v>5763</v>
      </c>
      <c r="DA27">
        <f t="shared" si="2"/>
        <v>6.35</v>
      </c>
      <c r="DB27">
        <v>0</v>
      </c>
    </row>
    <row r="28" spans="1:106" x14ac:dyDescent="0.2">
      <c r="A28">
        <f>ROW(Source!A37)</f>
        <v>37</v>
      </c>
      <c r="B28">
        <v>35891596</v>
      </c>
      <c r="C28">
        <v>35891929</v>
      </c>
      <c r="D28">
        <v>31475211</v>
      </c>
      <c r="E28">
        <v>1</v>
      </c>
      <c r="F28">
        <v>1</v>
      </c>
      <c r="G28">
        <v>1</v>
      </c>
      <c r="H28">
        <v>3</v>
      </c>
      <c r="I28" t="s">
        <v>388</v>
      </c>
      <c r="J28" t="s">
        <v>389</v>
      </c>
      <c r="K28" t="s">
        <v>390</v>
      </c>
      <c r="L28">
        <v>1346</v>
      </c>
      <c r="N28">
        <v>1009</v>
      </c>
      <c r="O28" t="s">
        <v>146</v>
      </c>
      <c r="P28" t="s">
        <v>146</v>
      </c>
      <c r="Q28">
        <v>1</v>
      </c>
      <c r="W28">
        <v>0</v>
      </c>
      <c r="X28">
        <v>210558753</v>
      </c>
      <c r="Y28">
        <v>0.25</v>
      </c>
      <c r="AA28">
        <v>63.21</v>
      </c>
      <c r="AB28">
        <v>0</v>
      </c>
      <c r="AC28">
        <v>0</v>
      </c>
      <c r="AD28">
        <v>0</v>
      </c>
      <c r="AE28">
        <v>28.6</v>
      </c>
      <c r="AF28">
        <v>0</v>
      </c>
      <c r="AG28">
        <v>0</v>
      </c>
      <c r="AH28">
        <v>0</v>
      </c>
      <c r="AI28">
        <v>2.21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0.25</v>
      </c>
      <c r="AU28" t="s">
        <v>3</v>
      </c>
      <c r="AV28">
        <v>0</v>
      </c>
      <c r="AW28">
        <v>2</v>
      </c>
      <c r="AX28">
        <v>35891952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Y28*Source!I37</f>
        <v>0.125</v>
      </c>
      <c r="CY28">
        <f t="shared" si="0"/>
        <v>63.21</v>
      </c>
      <c r="CZ28">
        <f t="shared" si="1"/>
        <v>28.6</v>
      </c>
      <c r="DA28">
        <f t="shared" si="2"/>
        <v>2.21</v>
      </c>
      <c r="DB28">
        <v>0</v>
      </c>
    </row>
    <row r="29" spans="1:106" x14ac:dyDescent="0.2">
      <c r="A29">
        <f>ROW(Source!A37)</f>
        <v>37</v>
      </c>
      <c r="B29">
        <v>35891596</v>
      </c>
      <c r="C29">
        <v>35891929</v>
      </c>
      <c r="D29">
        <v>31475248</v>
      </c>
      <c r="E29">
        <v>1</v>
      </c>
      <c r="F29">
        <v>1</v>
      </c>
      <c r="G29">
        <v>1</v>
      </c>
      <c r="H29">
        <v>3</v>
      </c>
      <c r="I29" t="s">
        <v>391</v>
      </c>
      <c r="J29" t="s">
        <v>392</v>
      </c>
      <c r="K29" t="s">
        <v>393</v>
      </c>
      <c r="L29">
        <v>1348</v>
      </c>
      <c r="N29">
        <v>1009</v>
      </c>
      <c r="O29" t="s">
        <v>384</v>
      </c>
      <c r="P29" t="s">
        <v>384</v>
      </c>
      <c r="Q29">
        <v>1000</v>
      </c>
      <c r="W29">
        <v>0</v>
      </c>
      <c r="X29">
        <v>-108263514</v>
      </c>
      <c r="Y29">
        <v>6.0000000000000002E-5</v>
      </c>
      <c r="AA29">
        <v>74903.429999999993</v>
      </c>
      <c r="AB29">
        <v>0</v>
      </c>
      <c r="AC29">
        <v>0</v>
      </c>
      <c r="AD29">
        <v>0</v>
      </c>
      <c r="AE29">
        <v>7826.9</v>
      </c>
      <c r="AF29">
        <v>0</v>
      </c>
      <c r="AG29">
        <v>0</v>
      </c>
      <c r="AH29">
        <v>0</v>
      </c>
      <c r="AI29">
        <v>9.57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6.0000000000000002E-5</v>
      </c>
      <c r="AU29" t="s">
        <v>3</v>
      </c>
      <c r="AV29">
        <v>0</v>
      </c>
      <c r="AW29">
        <v>2</v>
      </c>
      <c r="AX29">
        <v>35891953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Y29*Source!I37</f>
        <v>3.0000000000000001E-5</v>
      </c>
      <c r="CY29">
        <f t="shared" si="0"/>
        <v>74903.429999999993</v>
      </c>
      <c r="CZ29">
        <f t="shared" si="1"/>
        <v>7826.9</v>
      </c>
      <c r="DA29">
        <f t="shared" si="2"/>
        <v>9.57</v>
      </c>
      <c r="DB29">
        <v>0</v>
      </c>
    </row>
    <row r="30" spans="1:106" x14ac:dyDescent="0.2">
      <c r="A30">
        <f>ROW(Source!A37)</f>
        <v>37</v>
      </c>
      <c r="B30">
        <v>35891596</v>
      </c>
      <c r="C30">
        <v>35891929</v>
      </c>
      <c r="D30">
        <v>31435925</v>
      </c>
      <c r="E30">
        <v>17</v>
      </c>
      <c r="F30">
        <v>1</v>
      </c>
      <c r="G30">
        <v>1</v>
      </c>
      <c r="H30">
        <v>3</v>
      </c>
      <c r="I30" t="s">
        <v>369</v>
      </c>
      <c r="J30" t="s">
        <v>3</v>
      </c>
      <c r="K30" t="s">
        <v>370</v>
      </c>
      <c r="L30">
        <v>1374</v>
      </c>
      <c r="N30">
        <v>1013</v>
      </c>
      <c r="O30" t="s">
        <v>371</v>
      </c>
      <c r="P30" t="s">
        <v>371</v>
      </c>
      <c r="Q30">
        <v>1</v>
      </c>
      <c r="W30">
        <v>0</v>
      </c>
      <c r="X30">
        <v>-1731369543</v>
      </c>
      <c r="Y30">
        <v>3.39</v>
      </c>
      <c r="AA30">
        <v>1</v>
      </c>
      <c r="AB30">
        <v>0</v>
      </c>
      <c r="AC30">
        <v>0</v>
      </c>
      <c r="AD30">
        <v>0</v>
      </c>
      <c r="AE30">
        <v>1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3.39</v>
      </c>
      <c r="AU30" t="s">
        <v>3</v>
      </c>
      <c r="AV30">
        <v>0</v>
      </c>
      <c r="AW30">
        <v>2</v>
      </c>
      <c r="AX30">
        <v>35891954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Y30*Source!I37</f>
        <v>1.6950000000000001</v>
      </c>
      <c r="CY30">
        <f t="shared" si="0"/>
        <v>1</v>
      </c>
      <c r="CZ30">
        <f t="shared" si="1"/>
        <v>1</v>
      </c>
      <c r="DA30">
        <f t="shared" si="2"/>
        <v>1</v>
      </c>
      <c r="DB30">
        <v>0</v>
      </c>
    </row>
    <row r="31" spans="1:106" x14ac:dyDescent="0.2">
      <c r="A31">
        <f>ROW(Source!A37)</f>
        <v>37</v>
      </c>
      <c r="B31">
        <v>35891596</v>
      </c>
      <c r="C31">
        <v>35891929</v>
      </c>
      <c r="D31">
        <v>0</v>
      </c>
      <c r="E31">
        <v>0</v>
      </c>
      <c r="F31">
        <v>1</v>
      </c>
      <c r="G31">
        <v>1</v>
      </c>
      <c r="H31">
        <v>3</v>
      </c>
      <c r="I31" t="s">
        <v>86</v>
      </c>
      <c r="J31" t="s">
        <v>3</v>
      </c>
      <c r="K31" t="s">
        <v>87</v>
      </c>
      <c r="L31">
        <v>1301</v>
      </c>
      <c r="N31">
        <v>1003</v>
      </c>
      <c r="O31" t="s">
        <v>88</v>
      </c>
      <c r="P31" t="s">
        <v>88</v>
      </c>
      <c r="Q31">
        <v>1</v>
      </c>
      <c r="W31">
        <v>0</v>
      </c>
      <c r="X31">
        <v>-368135169</v>
      </c>
      <c r="Y31">
        <v>102</v>
      </c>
      <c r="AA31">
        <v>1292.3699999999999</v>
      </c>
      <c r="AB31">
        <v>0</v>
      </c>
      <c r="AC31">
        <v>0</v>
      </c>
      <c r="AD31">
        <v>0</v>
      </c>
      <c r="AE31">
        <v>186</v>
      </c>
      <c r="AF31">
        <v>0</v>
      </c>
      <c r="AG31">
        <v>0</v>
      </c>
      <c r="AH31">
        <v>0</v>
      </c>
      <c r="AI31">
        <v>7.3</v>
      </c>
      <c r="AJ31">
        <v>1</v>
      </c>
      <c r="AK31">
        <v>1</v>
      </c>
      <c r="AL31">
        <v>1</v>
      </c>
      <c r="AN31">
        <v>0</v>
      </c>
      <c r="AO31">
        <v>0</v>
      </c>
      <c r="AP31">
        <v>0</v>
      </c>
      <c r="AQ31">
        <v>0</v>
      </c>
      <c r="AR31">
        <v>0</v>
      </c>
      <c r="AS31" t="s">
        <v>3</v>
      </c>
      <c r="AT31">
        <v>102</v>
      </c>
      <c r="AU31" t="s">
        <v>3</v>
      </c>
      <c r="AV31">
        <v>0</v>
      </c>
      <c r="AW31">
        <v>1</v>
      </c>
      <c r="AX31">
        <v>-1</v>
      </c>
      <c r="AY31">
        <v>0</v>
      </c>
      <c r="AZ31">
        <v>0</v>
      </c>
      <c r="BA31" t="s">
        <v>3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Y31*Source!I37</f>
        <v>51</v>
      </c>
      <c r="CY31">
        <f t="shared" si="0"/>
        <v>1292.3699999999999</v>
      </c>
      <c r="CZ31">
        <f t="shared" si="1"/>
        <v>186</v>
      </c>
      <c r="DA31">
        <f t="shared" si="2"/>
        <v>7.3</v>
      </c>
      <c r="DB31">
        <v>0</v>
      </c>
    </row>
    <row r="32" spans="1:106" x14ac:dyDescent="0.2">
      <c r="A32">
        <f>ROW(Source!A39)</f>
        <v>39</v>
      </c>
      <c r="B32">
        <v>35891596</v>
      </c>
      <c r="C32">
        <v>35891956</v>
      </c>
      <c r="D32">
        <v>31709886</v>
      </c>
      <c r="E32">
        <v>1</v>
      </c>
      <c r="F32">
        <v>1</v>
      </c>
      <c r="G32">
        <v>1</v>
      </c>
      <c r="H32">
        <v>1</v>
      </c>
      <c r="I32" t="s">
        <v>367</v>
      </c>
      <c r="J32" t="s">
        <v>3</v>
      </c>
      <c r="K32" t="s">
        <v>368</v>
      </c>
      <c r="L32">
        <v>1191</v>
      </c>
      <c r="N32">
        <v>1013</v>
      </c>
      <c r="O32" t="s">
        <v>344</v>
      </c>
      <c r="P32" t="s">
        <v>344</v>
      </c>
      <c r="Q32">
        <v>1</v>
      </c>
      <c r="W32">
        <v>0</v>
      </c>
      <c r="X32">
        <v>1069510174</v>
      </c>
      <c r="Y32">
        <v>6.8879999999999999</v>
      </c>
      <c r="AA32">
        <v>0</v>
      </c>
      <c r="AB32">
        <v>0</v>
      </c>
      <c r="AC32">
        <v>0</v>
      </c>
      <c r="AD32">
        <v>9.6199999999999992</v>
      </c>
      <c r="AE32">
        <v>0</v>
      </c>
      <c r="AF32">
        <v>0</v>
      </c>
      <c r="AG32">
        <v>0</v>
      </c>
      <c r="AH32">
        <v>9.6199999999999992</v>
      </c>
      <c r="AI32">
        <v>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5.74</v>
      </c>
      <c r="AU32" t="s">
        <v>40</v>
      </c>
      <c r="AV32">
        <v>1</v>
      </c>
      <c r="AW32">
        <v>2</v>
      </c>
      <c r="AX32">
        <v>35891962</v>
      </c>
      <c r="AY32">
        <v>1</v>
      </c>
      <c r="AZ32">
        <v>0</v>
      </c>
      <c r="BA32">
        <v>31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Y32*Source!I39</f>
        <v>3.444</v>
      </c>
      <c r="CY32">
        <f>AD32</f>
        <v>9.6199999999999992</v>
      </c>
      <c r="CZ32">
        <f>AH32</f>
        <v>9.6199999999999992</v>
      </c>
      <c r="DA32">
        <f>AL32</f>
        <v>1</v>
      </c>
      <c r="DB32">
        <v>0</v>
      </c>
    </row>
    <row r="33" spans="1:106" x14ac:dyDescent="0.2">
      <c r="A33">
        <f>ROW(Source!A39)</f>
        <v>39</v>
      </c>
      <c r="B33">
        <v>35891596</v>
      </c>
      <c r="C33">
        <v>35891956</v>
      </c>
      <c r="D33">
        <v>31703727</v>
      </c>
      <c r="E33">
        <v>1</v>
      </c>
      <c r="F33">
        <v>1</v>
      </c>
      <c r="G33">
        <v>1</v>
      </c>
      <c r="H33">
        <v>1</v>
      </c>
      <c r="I33" t="s">
        <v>345</v>
      </c>
      <c r="J33" t="s">
        <v>3</v>
      </c>
      <c r="K33" t="s">
        <v>346</v>
      </c>
      <c r="L33">
        <v>1191</v>
      </c>
      <c r="N33">
        <v>1013</v>
      </c>
      <c r="O33" t="s">
        <v>344</v>
      </c>
      <c r="P33" t="s">
        <v>344</v>
      </c>
      <c r="Q33">
        <v>1</v>
      </c>
      <c r="W33">
        <v>0</v>
      </c>
      <c r="X33">
        <v>-1417349443</v>
      </c>
      <c r="Y33">
        <v>3.84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3.84</v>
      </c>
      <c r="AU33" t="s">
        <v>3</v>
      </c>
      <c r="AV33">
        <v>2</v>
      </c>
      <c r="AW33">
        <v>2</v>
      </c>
      <c r="AX33">
        <v>35891963</v>
      </c>
      <c r="AY33">
        <v>1</v>
      </c>
      <c r="AZ33">
        <v>2048</v>
      </c>
      <c r="BA33">
        <v>32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Y33*Source!I39</f>
        <v>1.92</v>
      </c>
      <c r="CY33">
        <f>AD33</f>
        <v>0</v>
      </c>
      <c r="CZ33">
        <f>AH33</f>
        <v>0</v>
      </c>
      <c r="DA33">
        <f>AL33</f>
        <v>1</v>
      </c>
      <c r="DB33">
        <v>0</v>
      </c>
    </row>
    <row r="34" spans="1:106" x14ac:dyDescent="0.2">
      <c r="A34">
        <f>ROW(Source!A39)</f>
        <v>39</v>
      </c>
      <c r="B34">
        <v>35891596</v>
      </c>
      <c r="C34">
        <v>35891956</v>
      </c>
      <c r="D34">
        <v>31519244</v>
      </c>
      <c r="E34">
        <v>1</v>
      </c>
      <c r="F34">
        <v>1</v>
      </c>
      <c r="G34">
        <v>1</v>
      </c>
      <c r="H34">
        <v>2</v>
      </c>
      <c r="I34" t="s">
        <v>351</v>
      </c>
      <c r="J34" t="s">
        <v>352</v>
      </c>
      <c r="K34" t="s">
        <v>353</v>
      </c>
      <c r="L34">
        <v>1368</v>
      </c>
      <c r="N34">
        <v>1011</v>
      </c>
      <c r="O34" t="s">
        <v>350</v>
      </c>
      <c r="P34" t="s">
        <v>350</v>
      </c>
      <c r="Q34">
        <v>1</v>
      </c>
      <c r="W34">
        <v>0</v>
      </c>
      <c r="X34">
        <v>-1718674368</v>
      </c>
      <c r="Y34">
        <v>2.3039999999999998</v>
      </c>
      <c r="AA34">
        <v>0</v>
      </c>
      <c r="AB34">
        <v>111.99</v>
      </c>
      <c r="AC34">
        <v>13.5</v>
      </c>
      <c r="AD34">
        <v>0</v>
      </c>
      <c r="AE34">
        <v>0</v>
      </c>
      <c r="AF34">
        <v>111.99</v>
      </c>
      <c r="AG34">
        <v>13.5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1.92</v>
      </c>
      <c r="AU34" t="s">
        <v>40</v>
      </c>
      <c r="AV34">
        <v>0</v>
      </c>
      <c r="AW34">
        <v>2</v>
      </c>
      <c r="AX34">
        <v>35891964</v>
      </c>
      <c r="AY34">
        <v>1</v>
      </c>
      <c r="AZ34">
        <v>0</v>
      </c>
      <c r="BA34">
        <v>33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Y34*Source!I39</f>
        <v>1.1519999999999999</v>
      </c>
      <c r="CY34">
        <f>AB34</f>
        <v>111.99</v>
      </c>
      <c r="CZ34">
        <f>AF34</f>
        <v>111.99</v>
      </c>
      <c r="DA34">
        <f>AJ34</f>
        <v>1</v>
      </c>
      <c r="DB34">
        <v>0</v>
      </c>
    </row>
    <row r="35" spans="1:106" x14ac:dyDescent="0.2">
      <c r="A35">
        <f>ROW(Source!A39)</f>
        <v>39</v>
      </c>
      <c r="B35">
        <v>35891596</v>
      </c>
      <c r="C35">
        <v>35891956</v>
      </c>
      <c r="D35">
        <v>31520646</v>
      </c>
      <c r="E35">
        <v>1</v>
      </c>
      <c r="F35">
        <v>1</v>
      </c>
      <c r="G35">
        <v>1</v>
      </c>
      <c r="H35">
        <v>2</v>
      </c>
      <c r="I35" t="s">
        <v>362</v>
      </c>
      <c r="J35" t="s">
        <v>363</v>
      </c>
      <c r="K35" t="s">
        <v>364</v>
      </c>
      <c r="L35">
        <v>1368</v>
      </c>
      <c r="N35">
        <v>1011</v>
      </c>
      <c r="O35" t="s">
        <v>350</v>
      </c>
      <c r="P35" t="s">
        <v>350</v>
      </c>
      <c r="Q35">
        <v>1</v>
      </c>
      <c r="W35">
        <v>0</v>
      </c>
      <c r="X35">
        <v>1372534845</v>
      </c>
      <c r="Y35">
        <v>2.3039999999999998</v>
      </c>
      <c r="AA35">
        <v>0</v>
      </c>
      <c r="AB35">
        <v>65.709999999999994</v>
      </c>
      <c r="AC35">
        <v>11.6</v>
      </c>
      <c r="AD35">
        <v>0</v>
      </c>
      <c r="AE35">
        <v>0</v>
      </c>
      <c r="AF35">
        <v>65.709999999999994</v>
      </c>
      <c r="AG35">
        <v>11.6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1.92</v>
      </c>
      <c r="AU35" t="s">
        <v>40</v>
      </c>
      <c r="AV35">
        <v>0</v>
      </c>
      <c r="AW35">
        <v>2</v>
      </c>
      <c r="AX35">
        <v>35891965</v>
      </c>
      <c r="AY35">
        <v>1</v>
      </c>
      <c r="AZ35">
        <v>0</v>
      </c>
      <c r="BA35">
        <v>34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Y35*Source!I39</f>
        <v>1.1519999999999999</v>
      </c>
      <c r="CY35">
        <f>AB35</f>
        <v>65.709999999999994</v>
      </c>
      <c r="CZ35">
        <f>AF35</f>
        <v>65.709999999999994</v>
      </c>
      <c r="DA35">
        <f>AJ35</f>
        <v>1</v>
      </c>
      <c r="DB35">
        <v>0</v>
      </c>
    </row>
    <row r="36" spans="1:106" x14ac:dyDescent="0.2">
      <c r="A36">
        <f>ROW(Source!A39)</f>
        <v>39</v>
      </c>
      <c r="B36">
        <v>35891596</v>
      </c>
      <c r="C36">
        <v>35891956</v>
      </c>
      <c r="D36">
        <v>31435925</v>
      </c>
      <c r="E36">
        <v>17</v>
      </c>
      <c r="F36">
        <v>1</v>
      </c>
      <c r="G36">
        <v>1</v>
      </c>
      <c r="H36">
        <v>3</v>
      </c>
      <c r="I36" t="s">
        <v>369</v>
      </c>
      <c r="J36" t="s">
        <v>3</v>
      </c>
      <c r="K36" t="s">
        <v>370</v>
      </c>
      <c r="L36">
        <v>1374</v>
      </c>
      <c r="N36">
        <v>1013</v>
      </c>
      <c r="O36" t="s">
        <v>371</v>
      </c>
      <c r="P36" t="s">
        <v>371</v>
      </c>
      <c r="Q36">
        <v>1</v>
      </c>
      <c r="W36">
        <v>0</v>
      </c>
      <c r="X36">
        <v>-1731369543</v>
      </c>
      <c r="Y36">
        <v>1.1000000000000001</v>
      </c>
      <c r="AA36">
        <v>1</v>
      </c>
      <c r="AB36">
        <v>0</v>
      </c>
      <c r="AC36">
        <v>0</v>
      </c>
      <c r="AD36">
        <v>0</v>
      </c>
      <c r="AE36">
        <v>1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1.1000000000000001</v>
      </c>
      <c r="AU36" t="s">
        <v>3</v>
      </c>
      <c r="AV36">
        <v>0</v>
      </c>
      <c r="AW36">
        <v>2</v>
      </c>
      <c r="AX36">
        <v>35891966</v>
      </c>
      <c r="AY36">
        <v>1</v>
      </c>
      <c r="AZ36">
        <v>0</v>
      </c>
      <c r="BA36">
        <v>35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Y36*Source!I39</f>
        <v>0.55000000000000004</v>
      </c>
      <c r="CY36">
        <f>AA36</f>
        <v>1</v>
      </c>
      <c r="CZ36">
        <f>AE36</f>
        <v>1</v>
      </c>
      <c r="DA36">
        <f>AI36</f>
        <v>1</v>
      </c>
      <c r="DB36">
        <v>0</v>
      </c>
    </row>
    <row r="37" spans="1:106" x14ac:dyDescent="0.2">
      <c r="A37">
        <f>ROW(Source!A39)</f>
        <v>39</v>
      </c>
      <c r="B37">
        <v>35891596</v>
      </c>
      <c r="C37">
        <v>35891956</v>
      </c>
      <c r="D37">
        <v>0</v>
      </c>
      <c r="E37">
        <v>1</v>
      </c>
      <c r="F37">
        <v>1</v>
      </c>
      <c r="G37">
        <v>1</v>
      </c>
      <c r="H37">
        <v>3</v>
      </c>
      <c r="I37" t="s">
        <v>95</v>
      </c>
      <c r="J37" t="s">
        <v>3</v>
      </c>
      <c r="K37" t="s">
        <v>96</v>
      </c>
      <c r="L37">
        <v>1354</v>
      </c>
      <c r="N37">
        <v>1010</v>
      </c>
      <c r="O37" t="s">
        <v>97</v>
      </c>
      <c r="P37" t="s">
        <v>97</v>
      </c>
      <c r="Q37">
        <v>1</v>
      </c>
      <c r="W37">
        <v>0</v>
      </c>
      <c r="X37">
        <v>1932939218</v>
      </c>
      <c r="Y37">
        <v>278</v>
      </c>
      <c r="AA37">
        <v>69.41</v>
      </c>
      <c r="AB37">
        <v>0</v>
      </c>
      <c r="AC37">
        <v>0</v>
      </c>
      <c r="AD37">
        <v>0</v>
      </c>
      <c r="AE37">
        <v>9.9999999999999982</v>
      </c>
      <c r="AF37">
        <v>0</v>
      </c>
      <c r="AG37">
        <v>0</v>
      </c>
      <c r="AH37">
        <v>0</v>
      </c>
      <c r="AI37">
        <v>7.3</v>
      </c>
      <c r="AJ37">
        <v>1</v>
      </c>
      <c r="AK37">
        <v>1</v>
      </c>
      <c r="AL37">
        <v>1</v>
      </c>
      <c r="AN37">
        <v>0</v>
      </c>
      <c r="AO37">
        <v>0</v>
      </c>
      <c r="AP37">
        <v>0</v>
      </c>
      <c r="AQ37">
        <v>0</v>
      </c>
      <c r="AR37">
        <v>0</v>
      </c>
      <c r="AS37" t="s">
        <v>3</v>
      </c>
      <c r="AT37">
        <v>278</v>
      </c>
      <c r="AU37" t="s">
        <v>3</v>
      </c>
      <c r="AV37">
        <v>0</v>
      </c>
      <c r="AW37">
        <v>1</v>
      </c>
      <c r="AX37">
        <v>-1</v>
      </c>
      <c r="AY37">
        <v>0</v>
      </c>
      <c r="AZ37">
        <v>0</v>
      </c>
      <c r="BA37" t="s">
        <v>3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Y37*Source!I39</f>
        <v>139</v>
      </c>
      <c r="CY37">
        <f>AA37</f>
        <v>69.41</v>
      </c>
      <c r="CZ37">
        <f>AE37</f>
        <v>9.9999999999999982</v>
      </c>
      <c r="DA37">
        <f>AI37</f>
        <v>7.3</v>
      </c>
      <c r="DB37">
        <v>0</v>
      </c>
    </row>
    <row r="38" spans="1:106" x14ac:dyDescent="0.2">
      <c r="A38">
        <f>ROW(Source!A41)</f>
        <v>41</v>
      </c>
      <c r="B38">
        <v>35891596</v>
      </c>
      <c r="C38">
        <v>35891980</v>
      </c>
      <c r="D38">
        <v>31710352</v>
      </c>
      <c r="E38">
        <v>1</v>
      </c>
      <c r="F38">
        <v>1</v>
      </c>
      <c r="G38">
        <v>1</v>
      </c>
      <c r="H38">
        <v>1</v>
      </c>
      <c r="I38" t="s">
        <v>394</v>
      </c>
      <c r="J38" t="s">
        <v>3</v>
      </c>
      <c r="K38" t="s">
        <v>395</v>
      </c>
      <c r="L38">
        <v>1191</v>
      </c>
      <c r="N38">
        <v>1013</v>
      </c>
      <c r="O38" t="s">
        <v>344</v>
      </c>
      <c r="P38" t="s">
        <v>344</v>
      </c>
      <c r="Q38">
        <v>1</v>
      </c>
      <c r="W38">
        <v>0</v>
      </c>
      <c r="X38">
        <v>-1972610816</v>
      </c>
      <c r="Y38">
        <v>116.64</v>
      </c>
      <c r="AA38">
        <v>0</v>
      </c>
      <c r="AB38">
        <v>0</v>
      </c>
      <c r="AC38">
        <v>0</v>
      </c>
      <c r="AD38">
        <v>7.5</v>
      </c>
      <c r="AE38">
        <v>0</v>
      </c>
      <c r="AF38">
        <v>0</v>
      </c>
      <c r="AG38">
        <v>0</v>
      </c>
      <c r="AH38">
        <v>7.5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97.2</v>
      </c>
      <c r="AU38" t="s">
        <v>40</v>
      </c>
      <c r="AV38">
        <v>1</v>
      </c>
      <c r="AW38">
        <v>2</v>
      </c>
      <c r="AX38">
        <v>35891983</v>
      </c>
      <c r="AY38">
        <v>1</v>
      </c>
      <c r="AZ38">
        <v>0</v>
      </c>
      <c r="BA38">
        <v>36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Y38*Source!I41</f>
        <v>2.3328000000000002</v>
      </c>
      <c r="CY38">
        <f>AD38</f>
        <v>7.5</v>
      </c>
      <c r="CZ38">
        <f>AH38</f>
        <v>7.5</v>
      </c>
      <c r="DA38">
        <f>AL38</f>
        <v>1</v>
      </c>
      <c r="DB38">
        <v>0</v>
      </c>
    </row>
    <row r="39" spans="1:106" x14ac:dyDescent="0.2">
      <c r="A39">
        <f>ROW(Source!A41)</f>
        <v>41</v>
      </c>
      <c r="B39">
        <v>35891596</v>
      </c>
      <c r="C39">
        <v>35891980</v>
      </c>
      <c r="D39">
        <v>31443147</v>
      </c>
      <c r="E39">
        <v>1</v>
      </c>
      <c r="F39">
        <v>1</v>
      </c>
      <c r="G39">
        <v>1</v>
      </c>
      <c r="H39">
        <v>3</v>
      </c>
      <c r="I39" t="s">
        <v>79</v>
      </c>
      <c r="J39" t="s">
        <v>81</v>
      </c>
      <c r="K39" t="s">
        <v>80</v>
      </c>
      <c r="L39">
        <v>1339</v>
      </c>
      <c r="N39">
        <v>1007</v>
      </c>
      <c r="O39" t="s">
        <v>50</v>
      </c>
      <c r="P39" t="s">
        <v>50</v>
      </c>
      <c r="Q39">
        <v>1</v>
      </c>
      <c r="W39">
        <v>0</v>
      </c>
      <c r="X39">
        <v>-35545874</v>
      </c>
      <c r="Y39">
        <v>100</v>
      </c>
      <c r="AA39">
        <v>569.17999999999995</v>
      </c>
      <c r="AB39">
        <v>0</v>
      </c>
      <c r="AC39">
        <v>0</v>
      </c>
      <c r="AD39">
        <v>0</v>
      </c>
      <c r="AE39">
        <v>55.26</v>
      </c>
      <c r="AF39">
        <v>0</v>
      </c>
      <c r="AG39">
        <v>0</v>
      </c>
      <c r="AH39">
        <v>0</v>
      </c>
      <c r="AI39">
        <v>10.3</v>
      </c>
      <c r="AJ39">
        <v>1</v>
      </c>
      <c r="AK39">
        <v>1</v>
      </c>
      <c r="AL39">
        <v>1</v>
      </c>
      <c r="AN39">
        <v>0</v>
      </c>
      <c r="AO39">
        <v>0</v>
      </c>
      <c r="AP39">
        <v>0</v>
      </c>
      <c r="AQ39">
        <v>0</v>
      </c>
      <c r="AR39">
        <v>0</v>
      </c>
      <c r="AS39" t="s">
        <v>3</v>
      </c>
      <c r="AT39">
        <v>100</v>
      </c>
      <c r="AU39" t="s">
        <v>3</v>
      </c>
      <c r="AV39">
        <v>0</v>
      </c>
      <c r="AW39">
        <v>1</v>
      </c>
      <c r="AX39">
        <v>-1</v>
      </c>
      <c r="AY39">
        <v>0</v>
      </c>
      <c r="AZ39">
        <v>0</v>
      </c>
      <c r="BA39" t="s">
        <v>3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Y39*Source!I41</f>
        <v>2</v>
      </c>
      <c r="CY39">
        <f>AA39</f>
        <v>569.17999999999995</v>
      </c>
      <c r="CZ39">
        <f>AE39</f>
        <v>55.26</v>
      </c>
      <c r="DA39">
        <f>AI39</f>
        <v>10.3</v>
      </c>
      <c r="DB39">
        <v>0</v>
      </c>
    </row>
    <row r="40" spans="1:106" x14ac:dyDescent="0.2">
      <c r="A40">
        <f>ROW(Source!A43)</f>
        <v>43</v>
      </c>
      <c r="B40">
        <v>35891596</v>
      </c>
      <c r="C40">
        <v>35892035</v>
      </c>
      <c r="D40">
        <v>31709886</v>
      </c>
      <c r="E40">
        <v>1</v>
      </c>
      <c r="F40">
        <v>1</v>
      </c>
      <c r="G40">
        <v>1</v>
      </c>
      <c r="H40">
        <v>1</v>
      </c>
      <c r="I40" t="s">
        <v>367</v>
      </c>
      <c r="J40" t="s">
        <v>3</v>
      </c>
      <c r="K40" t="s">
        <v>368</v>
      </c>
      <c r="L40">
        <v>1191</v>
      </c>
      <c r="N40">
        <v>1013</v>
      </c>
      <c r="O40" t="s">
        <v>344</v>
      </c>
      <c r="P40" t="s">
        <v>344</v>
      </c>
      <c r="Q40">
        <v>1</v>
      </c>
      <c r="W40">
        <v>0</v>
      </c>
      <c r="X40">
        <v>1069510174</v>
      </c>
      <c r="Y40">
        <v>35.808</v>
      </c>
      <c r="AA40">
        <v>0</v>
      </c>
      <c r="AB40">
        <v>0</v>
      </c>
      <c r="AC40">
        <v>0</v>
      </c>
      <c r="AD40">
        <v>9.6199999999999992</v>
      </c>
      <c r="AE40">
        <v>0</v>
      </c>
      <c r="AF40">
        <v>0</v>
      </c>
      <c r="AG40">
        <v>0</v>
      </c>
      <c r="AH40">
        <v>9.6199999999999992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29.84</v>
      </c>
      <c r="AU40" t="s">
        <v>40</v>
      </c>
      <c r="AV40">
        <v>1</v>
      </c>
      <c r="AW40">
        <v>2</v>
      </c>
      <c r="AX40">
        <v>35892048</v>
      </c>
      <c r="AY40">
        <v>1</v>
      </c>
      <c r="AZ40">
        <v>0</v>
      </c>
      <c r="BA40">
        <v>37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Y40*Source!I43</f>
        <v>17.904</v>
      </c>
      <c r="CY40">
        <f>AD40</f>
        <v>9.6199999999999992</v>
      </c>
      <c r="CZ40">
        <f>AH40</f>
        <v>9.6199999999999992</v>
      </c>
      <c r="DA40">
        <f>AL40</f>
        <v>1</v>
      </c>
      <c r="DB40">
        <v>0</v>
      </c>
    </row>
    <row r="41" spans="1:106" x14ac:dyDescent="0.2">
      <c r="A41">
        <f>ROW(Source!A43)</f>
        <v>43</v>
      </c>
      <c r="B41">
        <v>35891596</v>
      </c>
      <c r="C41">
        <v>35892035</v>
      </c>
      <c r="D41">
        <v>31703727</v>
      </c>
      <c r="E41">
        <v>1</v>
      </c>
      <c r="F41">
        <v>1</v>
      </c>
      <c r="G41">
        <v>1</v>
      </c>
      <c r="H41">
        <v>1</v>
      </c>
      <c r="I41" t="s">
        <v>345</v>
      </c>
      <c r="J41" t="s">
        <v>3</v>
      </c>
      <c r="K41" t="s">
        <v>346</v>
      </c>
      <c r="L41">
        <v>1191</v>
      </c>
      <c r="N41">
        <v>1013</v>
      </c>
      <c r="O41" t="s">
        <v>344</v>
      </c>
      <c r="P41" t="s">
        <v>344</v>
      </c>
      <c r="Q41">
        <v>1</v>
      </c>
      <c r="W41">
        <v>0</v>
      </c>
      <c r="X41">
        <v>-1417349443</v>
      </c>
      <c r="Y41">
        <v>0.4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0.4</v>
      </c>
      <c r="AU41" t="s">
        <v>3</v>
      </c>
      <c r="AV41">
        <v>2</v>
      </c>
      <c r="AW41">
        <v>2</v>
      </c>
      <c r="AX41">
        <v>35892049</v>
      </c>
      <c r="AY41">
        <v>1</v>
      </c>
      <c r="AZ41">
        <v>2048</v>
      </c>
      <c r="BA41">
        <v>38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Y41*Source!I43</f>
        <v>0.2</v>
      </c>
      <c r="CY41">
        <f>AD41</f>
        <v>0</v>
      </c>
      <c r="CZ41">
        <f>AH41</f>
        <v>0</v>
      </c>
      <c r="DA41">
        <f>AL41</f>
        <v>1</v>
      </c>
      <c r="DB41">
        <v>0</v>
      </c>
    </row>
    <row r="42" spans="1:106" x14ac:dyDescent="0.2">
      <c r="A42">
        <f>ROW(Source!A43)</f>
        <v>43</v>
      </c>
      <c r="B42">
        <v>35891596</v>
      </c>
      <c r="C42">
        <v>35892035</v>
      </c>
      <c r="D42">
        <v>31519244</v>
      </c>
      <c r="E42">
        <v>1</v>
      </c>
      <c r="F42">
        <v>1</v>
      </c>
      <c r="G42">
        <v>1</v>
      </c>
      <c r="H42">
        <v>2</v>
      </c>
      <c r="I42" t="s">
        <v>351</v>
      </c>
      <c r="J42" t="s">
        <v>352</v>
      </c>
      <c r="K42" t="s">
        <v>353</v>
      </c>
      <c r="L42">
        <v>1368</v>
      </c>
      <c r="N42">
        <v>1011</v>
      </c>
      <c r="O42" t="s">
        <v>350</v>
      </c>
      <c r="P42" t="s">
        <v>350</v>
      </c>
      <c r="Q42">
        <v>1</v>
      </c>
      <c r="W42">
        <v>0</v>
      </c>
      <c r="X42">
        <v>-1718674368</v>
      </c>
      <c r="Y42">
        <v>0.24</v>
      </c>
      <c r="AA42">
        <v>0</v>
      </c>
      <c r="AB42">
        <v>111.99</v>
      </c>
      <c r="AC42">
        <v>13.5</v>
      </c>
      <c r="AD42">
        <v>0</v>
      </c>
      <c r="AE42">
        <v>0</v>
      </c>
      <c r="AF42">
        <v>111.99</v>
      </c>
      <c r="AG42">
        <v>13.5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0.2</v>
      </c>
      <c r="AU42" t="s">
        <v>40</v>
      </c>
      <c r="AV42">
        <v>0</v>
      </c>
      <c r="AW42">
        <v>2</v>
      </c>
      <c r="AX42">
        <v>35892050</v>
      </c>
      <c r="AY42">
        <v>1</v>
      </c>
      <c r="AZ42">
        <v>0</v>
      </c>
      <c r="BA42">
        <v>39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Y42*Source!I43</f>
        <v>0.12</v>
      </c>
      <c r="CY42">
        <f>AB42</f>
        <v>111.99</v>
      </c>
      <c r="CZ42">
        <f>AF42</f>
        <v>111.99</v>
      </c>
      <c r="DA42">
        <f>AJ42</f>
        <v>1</v>
      </c>
      <c r="DB42">
        <v>0</v>
      </c>
    </row>
    <row r="43" spans="1:106" x14ac:dyDescent="0.2">
      <c r="A43">
        <f>ROW(Source!A43)</f>
        <v>43</v>
      </c>
      <c r="B43">
        <v>35891596</v>
      </c>
      <c r="C43">
        <v>35892035</v>
      </c>
      <c r="D43">
        <v>31519376</v>
      </c>
      <c r="E43">
        <v>1</v>
      </c>
      <c r="F43">
        <v>1</v>
      </c>
      <c r="G43">
        <v>1</v>
      </c>
      <c r="H43">
        <v>2</v>
      </c>
      <c r="I43" t="s">
        <v>372</v>
      </c>
      <c r="J43" t="s">
        <v>373</v>
      </c>
      <c r="K43" t="s">
        <v>374</v>
      </c>
      <c r="L43">
        <v>1368</v>
      </c>
      <c r="N43">
        <v>1011</v>
      </c>
      <c r="O43" t="s">
        <v>350</v>
      </c>
      <c r="P43" t="s">
        <v>350</v>
      </c>
      <c r="Q43">
        <v>1</v>
      </c>
      <c r="W43">
        <v>0</v>
      </c>
      <c r="X43">
        <v>-1692889495</v>
      </c>
      <c r="Y43">
        <v>8.2799999999999994</v>
      </c>
      <c r="AA43">
        <v>0</v>
      </c>
      <c r="AB43">
        <v>0.9</v>
      </c>
      <c r="AC43">
        <v>0</v>
      </c>
      <c r="AD43">
        <v>0</v>
      </c>
      <c r="AE43">
        <v>0</v>
      </c>
      <c r="AF43">
        <v>0.9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6.9</v>
      </c>
      <c r="AU43" t="s">
        <v>40</v>
      </c>
      <c r="AV43">
        <v>0</v>
      </c>
      <c r="AW43">
        <v>2</v>
      </c>
      <c r="AX43">
        <v>35892051</v>
      </c>
      <c r="AY43">
        <v>1</v>
      </c>
      <c r="AZ43">
        <v>0</v>
      </c>
      <c r="BA43">
        <v>40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Y43*Source!I43</f>
        <v>4.1399999999999997</v>
      </c>
      <c r="CY43">
        <f>AB43</f>
        <v>0.9</v>
      </c>
      <c r="CZ43">
        <f>AF43</f>
        <v>0.9</v>
      </c>
      <c r="DA43">
        <f>AJ43</f>
        <v>1</v>
      </c>
      <c r="DB43">
        <v>0</v>
      </c>
    </row>
    <row r="44" spans="1:106" x14ac:dyDescent="0.2">
      <c r="A44">
        <f>ROW(Source!A43)</f>
        <v>43</v>
      </c>
      <c r="B44">
        <v>35891596</v>
      </c>
      <c r="C44">
        <v>35892035</v>
      </c>
      <c r="D44">
        <v>31519442</v>
      </c>
      <c r="E44">
        <v>1</v>
      </c>
      <c r="F44">
        <v>1</v>
      </c>
      <c r="G44">
        <v>1</v>
      </c>
      <c r="H44">
        <v>2</v>
      </c>
      <c r="I44" t="s">
        <v>375</v>
      </c>
      <c r="J44" t="s">
        <v>376</v>
      </c>
      <c r="K44" t="s">
        <v>377</v>
      </c>
      <c r="L44">
        <v>1368</v>
      </c>
      <c r="N44">
        <v>1011</v>
      </c>
      <c r="O44" t="s">
        <v>350</v>
      </c>
      <c r="P44" t="s">
        <v>350</v>
      </c>
      <c r="Q44">
        <v>1</v>
      </c>
      <c r="W44">
        <v>0</v>
      </c>
      <c r="X44">
        <v>1544661785</v>
      </c>
      <c r="Y44">
        <v>8.2799999999999994</v>
      </c>
      <c r="AA44">
        <v>0</v>
      </c>
      <c r="AB44">
        <v>6.9</v>
      </c>
      <c r="AC44">
        <v>0</v>
      </c>
      <c r="AD44">
        <v>0</v>
      </c>
      <c r="AE44">
        <v>0</v>
      </c>
      <c r="AF44">
        <v>6.9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6.9</v>
      </c>
      <c r="AU44" t="s">
        <v>40</v>
      </c>
      <c r="AV44">
        <v>0</v>
      </c>
      <c r="AW44">
        <v>2</v>
      </c>
      <c r="AX44">
        <v>35892052</v>
      </c>
      <c r="AY44">
        <v>1</v>
      </c>
      <c r="AZ44">
        <v>0</v>
      </c>
      <c r="BA44">
        <v>41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Y44*Source!I43</f>
        <v>4.1399999999999997</v>
      </c>
      <c r="CY44">
        <f>AB44</f>
        <v>6.9</v>
      </c>
      <c r="CZ44">
        <f>AF44</f>
        <v>6.9</v>
      </c>
      <c r="DA44">
        <f>AJ44</f>
        <v>1</v>
      </c>
      <c r="DB44">
        <v>0</v>
      </c>
    </row>
    <row r="45" spans="1:106" x14ac:dyDescent="0.2">
      <c r="A45">
        <f>ROW(Source!A43)</f>
        <v>43</v>
      </c>
      <c r="B45">
        <v>35891596</v>
      </c>
      <c r="C45">
        <v>35892035</v>
      </c>
      <c r="D45">
        <v>31520646</v>
      </c>
      <c r="E45">
        <v>1</v>
      </c>
      <c r="F45">
        <v>1</v>
      </c>
      <c r="G45">
        <v>1</v>
      </c>
      <c r="H45">
        <v>2</v>
      </c>
      <c r="I45" t="s">
        <v>362</v>
      </c>
      <c r="J45" t="s">
        <v>363</v>
      </c>
      <c r="K45" t="s">
        <v>364</v>
      </c>
      <c r="L45">
        <v>1368</v>
      </c>
      <c r="N45">
        <v>1011</v>
      </c>
      <c r="O45" t="s">
        <v>350</v>
      </c>
      <c r="P45" t="s">
        <v>350</v>
      </c>
      <c r="Q45">
        <v>1</v>
      </c>
      <c r="W45">
        <v>0</v>
      </c>
      <c r="X45">
        <v>1372534845</v>
      </c>
      <c r="Y45">
        <v>0.24</v>
      </c>
      <c r="AA45">
        <v>0</v>
      </c>
      <c r="AB45">
        <v>65.709999999999994</v>
      </c>
      <c r="AC45">
        <v>11.6</v>
      </c>
      <c r="AD45">
        <v>0</v>
      </c>
      <c r="AE45">
        <v>0</v>
      </c>
      <c r="AF45">
        <v>65.709999999999994</v>
      </c>
      <c r="AG45">
        <v>11.6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0.2</v>
      </c>
      <c r="AU45" t="s">
        <v>40</v>
      </c>
      <c r="AV45">
        <v>0</v>
      </c>
      <c r="AW45">
        <v>2</v>
      </c>
      <c r="AX45">
        <v>35892053</v>
      </c>
      <c r="AY45">
        <v>1</v>
      </c>
      <c r="AZ45">
        <v>0</v>
      </c>
      <c r="BA45">
        <v>42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Y45*Source!I43</f>
        <v>0.12</v>
      </c>
      <c r="CY45">
        <f>AB45</f>
        <v>65.709999999999994</v>
      </c>
      <c r="CZ45">
        <f>AF45</f>
        <v>65.709999999999994</v>
      </c>
      <c r="DA45">
        <f>AJ45</f>
        <v>1</v>
      </c>
      <c r="DB45">
        <v>0</v>
      </c>
    </row>
    <row r="46" spans="1:106" x14ac:dyDescent="0.2">
      <c r="A46">
        <f>ROW(Source!A43)</f>
        <v>43</v>
      </c>
      <c r="B46">
        <v>35891596</v>
      </c>
      <c r="C46">
        <v>35892035</v>
      </c>
      <c r="D46">
        <v>31438964</v>
      </c>
      <c r="E46">
        <v>1</v>
      </c>
      <c r="F46">
        <v>1</v>
      </c>
      <c r="G46">
        <v>1</v>
      </c>
      <c r="H46">
        <v>3</v>
      </c>
      <c r="I46" t="s">
        <v>378</v>
      </c>
      <c r="J46" t="s">
        <v>379</v>
      </c>
      <c r="K46" t="s">
        <v>380</v>
      </c>
      <c r="L46">
        <v>1308</v>
      </c>
      <c r="N46">
        <v>1003</v>
      </c>
      <c r="O46" t="s">
        <v>73</v>
      </c>
      <c r="P46" t="s">
        <v>73</v>
      </c>
      <c r="Q46">
        <v>100</v>
      </c>
      <c r="W46">
        <v>0</v>
      </c>
      <c r="X46">
        <v>568244124</v>
      </c>
      <c r="Y46">
        <v>2.4500000000000001E-2</v>
      </c>
      <c r="AA46">
        <v>538.79999999999995</v>
      </c>
      <c r="AB46">
        <v>0</v>
      </c>
      <c r="AC46">
        <v>0</v>
      </c>
      <c r="AD46">
        <v>0</v>
      </c>
      <c r="AE46">
        <v>120</v>
      </c>
      <c r="AF46">
        <v>0</v>
      </c>
      <c r="AG46">
        <v>0</v>
      </c>
      <c r="AH46">
        <v>0</v>
      </c>
      <c r="AI46">
        <v>4.49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2.4500000000000001E-2</v>
      </c>
      <c r="AU46" t="s">
        <v>3</v>
      </c>
      <c r="AV46">
        <v>0</v>
      </c>
      <c r="AW46">
        <v>2</v>
      </c>
      <c r="AX46">
        <v>35892054</v>
      </c>
      <c r="AY46">
        <v>1</v>
      </c>
      <c r="AZ46">
        <v>0</v>
      </c>
      <c r="BA46">
        <v>43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Y46*Source!I43</f>
        <v>1.225E-2</v>
      </c>
      <c r="CY46">
        <f t="shared" ref="CY46:CY51" si="3">AA46</f>
        <v>538.79999999999995</v>
      </c>
      <c r="CZ46">
        <f t="shared" ref="CZ46:CZ51" si="4">AE46</f>
        <v>120</v>
      </c>
      <c r="DA46">
        <f t="shared" ref="DA46:DA51" si="5">AI46</f>
        <v>4.49</v>
      </c>
      <c r="DB46">
        <v>0</v>
      </c>
    </row>
    <row r="47" spans="1:106" x14ac:dyDescent="0.2">
      <c r="A47">
        <f>ROW(Source!A43)</f>
        <v>43</v>
      </c>
      <c r="B47">
        <v>35891596</v>
      </c>
      <c r="C47">
        <v>35892035</v>
      </c>
      <c r="D47">
        <v>31441802</v>
      </c>
      <c r="E47">
        <v>1</v>
      </c>
      <c r="F47">
        <v>1</v>
      </c>
      <c r="G47">
        <v>1</v>
      </c>
      <c r="H47">
        <v>3</v>
      </c>
      <c r="I47" t="s">
        <v>396</v>
      </c>
      <c r="J47" t="s">
        <v>397</v>
      </c>
      <c r="K47" t="s">
        <v>398</v>
      </c>
      <c r="L47">
        <v>1348</v>
      </c>
      <c r="N47">
        <v>1009</v>
      </c>
      <c r="O47" t="s">
        <v>384</v>
      </c>
      <c r="P47" t="s">
        <v>384</v>
      </c>
      <c r="Q47">
        <v>1000</v>
      </c>
      <c r="W47">
        <v>0</v>
      </c>
      <c r="X47">
        <v>-1755229539</v>
      </c>
      <c r="Y47">
        <v>6.2E-4</v>
      </c>
      <c r="AA47">
        <v>89993.2</v>
      </c>
      <c r="AB47">
        <v>0</v>
      </c>
      <c r="AC47">
        <v>0</v>
      </c>
      <c r="AD47">
        <v>0</v>
      </c>
      <c r="AE47">
        <v>12430</v>
      </c>
      <c r="AF47">
        <v>0</v>
      </c>
      <c r="AG47">
        <v>0</v>
      </c>
      <c r="AH47">
        <v>0</v>
      </c>
      <c r="AI47">
        <v>7.24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</v>
      </c>
      <c r="AT47">
        <v>6.2E-4</v>
      </c>
      <c r="AU47" t="s">
        <v>3</v>
      </c>
      <c r="AV47">
        <v>0</v>
      </c>
      <c r="AW47">
        <v>2</v>
      </c>
      <c r="AX47">
        <v>35892055</v>
      </c>
      <c r="AY47">
        <v>1</v>
      </c>
      <c r="AZ47">
        <v>0</v>
      </c>
      <c r="BA47">
        <v>44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Y47*Source!I43</f>
        <v>3.1E-4</v>
      </c>
      <c r="CY47">
        <f t="shared" si="3"/>
        <v>89993.2</v>
      </c>
      <c r="CZ47">
        <f t="shared" si="4"/>
        <v>12430</v>
      </c>
      <c r="DA47">
        <f t="shared" si="5"/>
        <v>7.24</v>
      </c>
      <c r="DB47">
        <v>0</v>
      </c>
    </row>
    <row r="48" spans="1:106" x14ac:dyDescent="0.2">
      <c r="A48">
        <f>ROW(Source!A43)</f>
        <v>43</v>
      </c>
      <c r="B48">
        <v>35891596</v>
      </c>
      <c r="C48">
        <v>35892035</v>
      </c>
      <c r="D48">
        <v>31466422</v>
      </c>
      <c r="E48">
        <v>1</v>
      </c>
      <c r="F48">
        <v>1</v>
      </c>
      <c r="G48">
        <v>1</v>
      </c>
      <c r="H48">
        <v>3</v>
      </c>
      <c r="I48" t="s">
        <v>399</v>
      </c>
      <c r="J48" t="s">
        <v>400</v>
      </c>
      <c r="K48" t="s">
        <v>401</v>
      </c>
      <c r="L48">
        <v>1346</v>
      </c>
      <c r="N48">
        <v>1009</v>
      </c>
      <c r="O48" t="s">
        <v>146</v>
      </c>
      <c r="P48" t="s">
        <v>146</v>
      </c>
      <c r="Q48">
        <v>1</v>
      </c>
      <c r="W48">
        <v>0</v>
      </c>
      <c r="X48">
        <v>1391681712</v>
      </c>
      <c r="Y48">
        <v>0.25</v>
      </c>
      <c r="AA48">
        <v>600.88</v>
      </c>
      <c r="AB48">
        <v>0</v>
      </c>
      <c r="AC48">
        <v>0</v>
      </c>
      <c r="AD48">
        <v>0</v>
      </c>
      <c r="AE48">
        <v>68.05</v>
      </c>
      <c r="AF48">
        <v>0</v>
      </c>
      <c r="AG48">
        <v>0</v>
      </c>
      <c r="AH48">
        <v>0</v>
      </c>
      <c r="AI48">
        <v>8.83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3</v>
      </c>
      <c r="AT48">
        <v>0.25</v>
      </c>
      <c r="AU48" t="s">
        <v>3</v>
      </c>
      <c r="AV48">
        <v>0</v>
      </c>
      <c r="AW48">
        <v>2</v>
      </c>
      <c r="AX48">
        <v>35892056</v>
      </c>
      <c r="AY48">
        <v>1</v>
      </c>
      <c r="AZ48">
        <v>0</v>
      </c>
      <c r="BA48">
        <v>45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Y48*Source!I43</f>
        <v>0.125</v>
      </c>
      <c r="CY48">
        <f t="shared" si="3"/>
        <v>600.88</v>
      </c>
      <c r="CZ48">
        <f t="shared" si="4"/>
        <v>68.05</v>
      </c>
      <c r="DA48">
        <f t="shared" si="5"/>
        <v>8.83</v>
      </c>
      <c r="DB48">
        <v>0</v>
      </c>
    </row>
    <row r="49" spans="1:106" x14ac:dyDescent="0.2">
      <c r="A49">
        <f>ROW(Source!A43)</f>
        <v>43</v>
      </c>
      <c r="B49">
        <v>35891596</v>
      </c>
      <c r="C49">
        <v>35892035</v>
      </c>
      <c r="D49">
        <v>31475248</v>
      </c>
      <c r="E49">
        <v>1</v>
      </c>
      <c r="F49">
        <v>1</v>
      </c>
      <c r="G49">
        <v>1</v>
      </c>
      <c r="H49">
        <v>3</v>
      </c>
      <c r="I49" t="s">
        <v>391</v>
      </c>
      <c r="J49" t="s">
        <v>392</v>
      </c>
      <c r="K49" t="s">
        <v>393</v>
      </c>
      <c r="L49">
        <v>1348</v>
      </c>
      <c r="N49">
        <v>1009</v>
      </c>
      <c r="O49" t="s">
        <v>384</v>
      </c>
      <c r="P49" t="s">
        <v>384</v>
      </c>
      <c r="Q49">
        <v>1000</v>
      </c>
      <c r="W49">
        <v>0</v>
      </c>
      <c r="X49">
        <v>-108263514</v>
      </c>
      <c r="Y49">
        <v>7.2000000000000005E-4</v>
      </c>
      <c r="AA49">
        <v>74903.429999999993</v>
      </c>
      <c r="AB49">
        <v>0</v>
      </c>
      <c r="AC49">
        <v>0</v>
      </c>
      <c r="AD49">
        <v>0</v>
      </c>
      <c r="AE49">
        <v>7826.9</v>
      </c>
      <c r="AF49">
        <v>0</v>
      </c>
      <c r="AG49">
        <v>0</v>
      </c>
      <c r="AH49">
        <v>0</v>
      </c>
      <c r="AI49">
        <v>9.57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3</v>
      </c>
      <c r="AT49">
        <v>7.2000000000000005E-4</v>
      </c>
      <c r="AU49" t="s">
        <v>3</v>
      </c>
      <c r="AV49">
        <v>0</v>
      </c>
      <c r="AW49">
        <v>2</v>
      </c>
      <c r="AX49">
        <v>35892057</v>
      </c>
      <c r="AY49">
        <v>1</v>
      </c>
      <c r="AZ49">
        <v>0</v>
      </c>
      <c r="BA49">
        <v>46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Y49*Source!I43</f>
        <v>3.6000000000000002E-4</v>
      </c>
      <c r="CY49">
        <f t="shared" si="3"/>
        <v>74903.429999999993</v>
      </c>
      <c r="CZ49">
        <f t="shared" si="4"/>
        <v>7826.9</v>
      </c>
      <c r="DA49">
        <f t="shared" si="5"/>
        <v>9.57</v>
      </c>
      <c r="DB49">
        <v>0</v>
      </c>
    </row>
    <row r="50" spans="1:106" x14ac:dyDescent="0.2">
      <c r="A50">
        <f>ROW(Source!A43)</f>
        <v>43</v>
      </c>
      <c r="B50">
        <v>35891596</v>
      </c>
      <c r="C50">
        <v>35892035</v>
      </c>
      <c r="D50">
        <v>31435925</v>
      </c>
      <c r="E50">
        <v>17</v>
      </c>
      <c r="F50">
        <v>1</v>
      </c>
      <c r="G50">
        <v>1</v>
      </c>
      <c r="H50">
        <v>3</v>
      </c>
      <c r="I50" t="s">
        <v>369</v>
      </c>
      <c r="J50" t="s">
        <v>3</v>
      </c>
      <c r="K50" t="s">
        <v>370</v>
      </c>
      <c r="L50">
        <v>1374</v>
      </c>
      <c r="N50">
        <v>1013</v>
      </c>
      <c r="O50" t="s">
        <v>371</v>
      </c>
      <c r="P50" t="s">
        <v>371</v>
      </c>
      <c r="Q50">
        <v>1</v>
      </c>
      <c r="W50">
        <v>0</v>
      </c>
      <c r="X50">
        <v>-1731369543</v>
      </c>
      <c r="Y50">
        <v>5.74</v>
      </c>
      <c r="AA50">
        <v>1</v>
      </c>
      <c r="AB50">
        <v>0</v>
      </c>
      <c r="AC50">
        <v>0</v>
      </c>
      <c r="AD50">
        <v>0</v>
      </c>
      <c r="AE50">
        <v>1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5.74</v>
      </c>
      <c r="AU50" t="s">
        <v>3</v>
      </c>
      <c r="AV50">
        <v>0</v>
      </c>
      <c r="AW50">
        <v>2</v>
      </c>
      <c r="AX50">
        <v>35892058</v>
      </c>
      <c r="AY50">
        <v>1</v>
      </c>
      <c r="AZ50">
        <v>0</v>
      </c>
      <c r="BA50">
        <v>47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Y50*Source!I43</f>
        <v>2.87</v>
      </c>
      <c r="CY50">
        <f t="shared" si="3"/>
        <v>1</v>
      </c>
      <c r="CZ50">
        <f t="shared" si="4"/>
        <v>1</v>
      </c>
      <c r="DA50">
        <f t="shared" si="5"/>
        <v>1</v>
      </c>
      <c r="DB50">
        <v>0</v>
      </c>
    </row>
    <row r="51" spans="1:106" x14ac:dyDescent="0.2">
      <c r="A51">
        <f>ROW(Source!A43)</f>
        <v>43</v>
      </c>
      <c r="B51">
        <v>35891596</v>
      </c>
      <c r="C51">
        <v>35892035</v>
      </c>
      <c r="D51">
        <v>0</v>
      </c>
      <c r="E51">
        <v>1</v>
      </c>
      <c r="F51">
        <v>1</v>
      </c>
      <c r="G51">
        <v>1</v>
      </c>
      <c r="H51">
        <v>3</v>
      </c>
      <c r="I51" t="s">
        <v>86</v>
      </c>
      <c r="J51" t="s">
        <v>3</v>
      </c>
      <c r="K51" t="s">
        <v>87</v>
      </c>
      <c r="L51">
        <v>1301</v>
      </c>
      <c r="N51">
        <v>1003</v>
      </c>
      <c r="O51" t="s">
        <v>88</v>
      </c>
      <c r="P51" t="s">
        <v>88</v>
      </c>
      <c r="Q51">
        <v>1</v>
      </c>
      <c r="W51">
        <v>0</v>
      </c>
      <c r="X51">
        <v>-368135169</v>
      </c>
      <c r="Y51">
        <v>102</v>
      </c>
      <c r="AA51">
        <v>1292.3699999999999</v>
      </c>
      <c r="AB51">
        <v>0</v>
      </c>
      <c r="AC51">
        <v>0</v>
      </c>
      <c r="AD51">
        <v>0</v>
      </c>
      <c r="AE51">
        <v>186</v>
      </c>
      <c r="AF51">
        <v>0</v>
      </c>
      <c r="AG51">
        <v>0</v>
      </c>
      <c r="AH51">
        <v>0</v>
      </c>
      <c r="AI51">
        <v>7.3</v>
      </c>
      <c r="AJ51">
        <v>1</v>
      </c>
      <c r="AK51">
        <v>1</v>
      </c>
      <c r="AL51">
        <v>1</v>
      </c>
      <c r="AN51">
        <v>0</v>
      </c>
      <c r="AO51">
        <v>0</v>
      </c>
      <c r="AP51">
        <v>0</v>
      </c>
      <c r="AQ51">
        <v>0</v>
      </c>
      <c r="AR51">
        <v>0</v>
      </c>
      <c r="AS51" t="s">
        <v>3</v>
      </c>
      <c r="AT51">
        <v>102</v>
      </c>
      <c r="AU51" t="s">
        <v>3</v>
      </c>
      <c r="AV51">
        <v>0</v>
      </c>
      <c r="AW51">
        <v>1</v>
      </c>
      <c r="AX51">
        <v>-1</v>
      </c>
      <c r="AY51">
        <v>0</v>
      </c>
      <c r="AZ51">
        <v>0</v>
      </c>
      <c r="BA51" t="s">
        <v>3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Y51*Source!I43</f>
        <v>51</v>
      </c>
      <c r="CY51">
        <f t="shared" si="3"/>
        <v>1292.3699999999999</v>
      </c>
      <c r="CZ51">
        <f t="shared" si="4"/>
        <v>186</v>
      </c>
      <c r="DA51">
        <f t="shared" si="5"/>
        <v>7.3</v>
      </c>
      <c r="DB51">
        <v>0</v>
      </c>
    </row>
    <row r="52" spans="1:106" x14ac:dyDescent="0.2">
      <c r="A52">
        <f>ROW(Source!A45)</f>
        <v>45</v>
      </c>
      <c r="B52">
        <v>35891596</v>
      </c>
      <c r="C52">
        <v>35944297</v>
      </c>
      <c r="D52">
        <v>31709886</v>
      </c>
      <c r="E52">
        <v>1</v>
      </c>
      <c r="F52">
        <v>1</v>
      </c>
      <c r="G52">
        <v>1</v>
      </c>
      <c r="H52">
        <v>1</v>
      </c>
      <c r="I52" t="s">
        <v>367</v>
      </c>
      <c r="J52" t="s">
        <v>3</v>
      </c>
      <c r="K52" t="s">
        <v>368</v>
      </c>
      <c r="L52">
        <v>1191</v>
      </c>
      <c r="N52">
        <v>1013</v>
      </c>
      <c r="O52" t="s">
        <v>344</v>
      </c>
      <c r="P52" t="s">
        <v>344</v>
      </c>
      <c r="Q52">
        <v>1</v>
      </c>
      <c r="W52">
        <v>0</v>
      </c>
      <c r="X52">
        <v>1069510174</v>
      </c>
      <c r="Y52">
        <v>2.2799999999999998</v>
      </c>
      <c r="AA52">
        <v>0</v>
      </c>
      <c r="AB52">
        <v>0</v>
      </c>
      <c r="AC52">
        <v>0</v>
      </c>
      <c r="AD52">
        <v>9.6199999999999992</v>
      </c>
      <c r="AE52">
        <v>0</v>
      </c>
      <c r="AF52">
        <v>0</v>
      </c>
      <c r="AG52">
        <v>0</v>
      </c>
      <c r="AH52">
        <v>9.6199999999999992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1.9</v>
      </c>
      <c r="AU52" t="s">
        <v>40</v>
      </c>
      <c r="AV52">
        <v>1</v>
      </c>
      <c r="AW52">
        <v>2</v>
      </c>
      <c r="AX52">
        <v>35944298</v>
      </c>
      <c r="AY52">
        <v>1</v>
      </c>
      <c r="AZ52">
        <v>0</v>
      </c>
      <c r="BA52">
        <v>48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Y52*Source!I45</f>
        <v>2.2799999999999998</v>
      </c>
      <c r="CY52">
        <f>AD52</f>
        <v>9.6199999999999992</v>
      </c>
      <c r="CZ52">
        <f>AH52</f>
        <v>9.6199999999999992</v>
      </c>
      <c r="DA52">
        <f>AL52</f>
        <v>1</v>
      </c>
      <c r="DB52">
        <v>0</v>
      </c>
    </row>
    <row r="53" spans="1:106" x14ac:dyDescent="0.2">
      <c r="A53">
        <f>ROW(Source!A45)</f>
        <v>45</v>
      </c>
      <c r="B53">
        <v>35891596</v>
      </c>
      <c r="C53">
        <v>35944297</v>
      </c>
      <c r="D53">
        <v>31436888</v>
      </c>
      <c r="E53">
        <v>1</v>
      </c>
      <c r="F53">
        <v>1</v>
      </c>
      <c r="G53">
        <v>1</v>
      </c>
      <c r="H53">
        <v>3</v>
      </c>
      <c r="I53" t="s">
        <v>402</v>
      </c>
      <c r="J53" t="s">
        <v>403</v>
      </c>
      <c r="K53" t="s">
        <v>404</v>
      </c>
      <c r="L53">
        <v>1348</v>
      </c>
      <c r="N53">
        <v>1009</v>
      </c>
      <c r="O53" t="s">
        <v>384</v>
      </c>
      <c r="P53" t="s">
        <v>384</v>
      </c>
      <c r="Q53">
        <v>1000</v>
      </c>
      <c r="W53">
        <v>0</v>
      </c>
      <c r="X53">
        <v>-168273048</v>
      </c>
      <c r="Y53">
        <v>8.0000000000000004E-4</v>
      </c>
      <c r="AA53">
        <v>65710.179999999993</v>
      </c>
      <c r="AB53">
        <v>0</v>
      </c>
      <c r="AC53">
        <v>0</v>
      </c>
      <c r="AD53">
        <v>0</v>
      </c>
      <c r="AE53">
        <v>4488.3999999999996</v>
      </c>
      <c r="AF53">
        <v>0</v>
      </c>
      <c r="AG53">
        <v>0</v>
      </c>
      <c r="AH53">
        <v>0</v>
      </c>
      <c r="AI53">
        <v>14.64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3</v>
      </c>
      <c r="AT53">
        <v>8.0000000000000004E-4</v>
      </c>
      <c r="AU53" t="s">
        <v>3</v>
      </c>
      <c r="AV53">
        <v>0</v>
      </c>
      <c r="AW53">
        <v>2</v>
      </c>
      <c r="AX53">
        <v>35944299</v>
      </c>
      <c r="AY53">
        <v>1</v>
      </c>
      <c r="AZ53">
        <v>0</v>
      </c>
      <c r="BA53">
        <v>49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Y53*Source!I45</f>
        <v>8.0000000000000004E-4</v>
      </c>
      <c r="CY53">
        <f t="shared" ref="CY53:CY58" si="6">AA53</f>
        <v>65710.179999999993</v>
      </c>
      <c r="CZ53">
        <f t="shared" ref="CZ53:CZ58" si="7">AE53</f>
        <v>4488.3999999999996</v>
      </c>
      <c r="DA53">
        <f t="shared" ref="DA53:DA58" si="8">AI53</f>
        <v>14.64</v>
      </c>
      <c r="DB53">
        <v>0</v>
      </c>
    </row>
    <row r="54" spans="1:106" x14ac:dyDescent="0.2">
      <c r="A54">
        <f>ROW(Source!A45)</f>
        <v>45</v>
      </c>
      <c r="B54">
        <v>35891596</v>
      </c>
      <c r="C54">
        <v>35944297</v>
      </c>
      <c r="D54">
        <v>31436924</v>
      </c>
      <c r="E54">
        <v>1</v>
      </c>
      <c r="F54">
        <v>1</v>
      </c>
      <c r="G54">
        <v>1</v>
      </c>
      <c r="H54">
        <v>3</v>
      </c>
      <c r="I54" t="s">
        <v>405</v>
      </c>
      <c r="J54" t="s">
        <v>406</v>
      </c>
      <c r="K54" t="s">
        <v>407</v>
      </c>
      <c r="L54">
        <v>1348</v>
      </c>
      <c r="N54">
        <v>1009</v>
      </c>
      <c r="O54" t="s">
        <v>384</v>
      </c>
      <c r="P54" t="s">
        <v>384</v>
      </c>
      <c r="Q54">
        <v>1000</v>
      </c>
      <c r="W54">
        <v>0</v>
      </c>
      <c r="X54">
        <v>-1449423263</v>
      </c>
      <c r="Y54">
        <v>1.0000000000000001E-5</v>
      </c>
      <c r="AA54">
        <v>47985.8</v>
      </c>
      <c r="AB54">
        <v>0</v>
      </c>
      <c r="AC54">
        <v>0</v>
      </c>
      <c r="AD54">
        <v>0</v>
      </c>
      <c r="AE54">
        <v>8105.71</v>
      </c>
      <c r="AF54">
        <v>0</v>
      </c>
      <c r="AG54">
        <v>0</v>
      </c>
      <c r="AH54">
        <v>0</v>
      </c>
      <c r="AI54">
        <v>5.92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1.0000000000000001E-5</v>
      </c>
      <c r="AU54" t="s">
        <v>3</v>
      </c>
      <c r="AV54">
        <v>0</v>
      </c>
      <c r="AW54">
        <v>2</v>
      </c>
      <c r="AX54">
        <v>35944300</v>
      </c>
      <c r="AY54">
        <v>1</v>
      </c>
      <c r="AZ54">
        <v>0</v>
      </c>
      <c r="BA54">
        <v>50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Y54*Source!I45</f>
        <v>1.0000000000000001E-5</v>
      </c>
      <c r="CY54">
        <f t="shared" si="6"/>
        <v>47985.8</v>
      </c>
      <c r="CZ54">
        <f t="shared" si="7"/>
        <v>8105.71</v>
      </c>
      <c r="DA54">
        <f t="shared" si="8"/>
        <v>5.92</v>
      </c>
      <c r="DB54">
        <v>0</v>
      </c>
    </row>
    <row r="55" spans="1:106" x14ac:dyDescent="0.2">
      <c r="A55">
        <f>ROW(Source!A45)</f>
        <v>45</v>
      </c>
      <c r="B55">
        <v>35891596</v>
      </c>
      <c r="C55">
        <v>35944297</v>
      </c>
      <c r="D55">
        <v>31437024</v>
      </c>
      <c r="E55">
        <v>1</v>
      </c>
      <c r="F55">
        <v>1</v>
      </c>
      <c r="G55">
        <v>1</v>
      </c>
      <c r="H55">
        <v>3</v>
      </c>
      <c r="I55" t="s">
        <v>408</v>
      </c>
      <c r="J55" t="s">
        <v>409</v>
      </c>
      <c r="K55" t="s">
        <v>410</v>
      </c>
      <c r="L55">
        <v>1346</v>
      </c>
      <c r="N55">
        <v>1009</v>
      </c>
      <c r="O55" t="s">
        <v>146</v>
      </c>
      <c r="P55" t="s">
        <v>146</v>
      </c>
      <c r="Q55">
        <v>1</v>
      </c>
      <c r="W55">
        <v>0</v>
      </c>
      <c r="X55">
        <v>1721895514</v>
      </c>
      <c r="Y55">
        <v>0.15</v>
      </c>
      <c r="AA55">
        <v>45.98</v>
      </c>
      <c r="AB55">
        <v>0</v>
      </c>
      <c r="AC55">
        <v>0</v>
      </c>
      <c r="AD55">
        <v>0</v>
      </c>
      <c r="AE55">
        <v>6.09</v>
      </c>
      <c r="AF55">
        <v>0</v>
      </c>
      <c r="AG55">
        <v>0</v>
      </c>
      <c r="AH55">
        <v>0</v>
      </c>
      <c r="AI55">
        <v>7.55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0.15</v>
      </c>
      <c r="AU55" t="s">
        <v>3</v>
      </c>
      <c r="AV55">
        <v>0</v>
      </c>
      <c r="AW55">
        <v>2</v>
      </c>
      <c r="AX55">
        <v>35944301</v>
      </c>
      <c r="AY55">
        <v>1</v>
      </c>
      <c r="AZ55">
        <v>0</v>
      </c>
      <c r="BA55">
        <v>51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Y55*Source!I45</f>
        <v>0.15</v>
      </c>
      <c r="CY55">
        <f t="shared" si="6"/>
        <v>45.98</v>
      </c>
      <c r="CZ55">
        <f t="shared" si="7"/>
        <v>6.09</v>
      </c>
      <c r="DA55">
        <f t="shared" si="8"/>
        <v>7.55</v>
      </c>
      <c r="DB55">
        <v>0</v>
      </c>
    </row>
    <row r="56" spans="1:106" x14ac:dyDescent="0.2">
      <c r="A56">
        <f>ROW(Source!A45)</f>
        <v>45</v>
      </c>
      <c r="B56">
        <v>35891596</v>
      </c>
      <c r="C56">
        <v>35944297</v>
      </c>
      <c r="D56">
        <v>31438964</v>
      </c>
      <c r="E56">
        <v>1</v>
      </c>
      <c r="F56">
        <v>1</v>
      </c>
      <c r="G56">
        <v>1</v>
      </c>
      <c r="H56">
        <v>3</v>
      </c>
      <c r="I56" t="s">
        <v>378</v>
      </c>
      <c r="J56" t="s">
        <v>379</v>
      </c>
      <c r="K56" t="s">
        <v>380</v>
      </c>
      <c r="L56">
        <v>1308</v>
      </c>
      <c r="N56">
        <v>1003</v>
      </c>
      <c r="O56" t="s">
        <v>73</v>
      </c>
      <c r="P56" t="s">
        <v>73</v>
      </c>
      <c r="Q56">
        <v>100</v>
      </c>
      <c r="W56">
        <v>0</v>
      </c>
      <c r="X56">
        <v>568244124</v>
      </c>
      <c r="Y56">
        <v>2.3999999999999998E-3</v>
      </c>
      <c r="AA56">
        <v>538.79999999999995</v>
      </c>
      <c r="AB56">
        <v>0</v>
      </c>
      <c r="AC56">
        <v>0</v>
      </c>
      <c r="AD56">
        <v>0</v>
      </c>
      <c r="AE56">
        <v>120</v>
      </c>
      <c r="AF56">
        <v>0</v>
      </c>
      <c r="AG56">
        <v>0</v>
      </c>
      <c r="AH56">
        <v>0</v>
      </c>
      <c r="AI56">
        <v>4.49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2.3999999999999998E-3</v>
      </c>
      <c r="AU56" t="s">
        <v>3</v>
      </c>
      <c r="AV56">
        <v>0</v>
      </c>
      <c r="AW56">
        <v>2</v>
      </c>
      <c r="AX56">
        <v>35944302</v>
      </c>
      <c r="AY56">
        <v>1</v>
      </c>
      <c r="AZ56">
        <v>0</v>
      </c>
      <c r="BA56">
        <v>52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Y56*Source!I45</f>
        <v>2.3999999999999998E-3</v>
      </c>
      <c r="CY56">
        <f t="shared" si="6"/>
        <v>538.79999999999995</v>
      </c>
      <c r="CZ56">
        <f t="shared" si="7"/>
        <v>120</v>
      </c>
      <c r="DA56">
        <f t="shared" si="8"/>
        <v>4.49</v>
      </c>
      <c r="DB56">
        <v>0</v>
      </c>
    </row>
    <row r="57" spans="1:106" x14ac:dyDescent="0.2">
      <c r="A57">
        <f>ROW(Source!A45)</f>
        <v>45</v>
      </c>
      <c r="B57">
        <v>35891596</v>
      </c>
      <c r="C57">
        <v>35944297</v>
      </c>
      <c r="D57">
        <v>31435925</v>
      </c>
      <c r="E57">
        <v>17</v>
      </c>
      <c r="F57">
        <v>1</v>
      </c>
      <c r="G57">
        <v>1</v>
      </c>
      <c r="H57">
        <v>3</v>
      </c>
      <c r="I57" t="s">
        <v>369</v>
      </c>
      <c r="J57" t="s">
        <v>3</v>
      </c>
      <c r="K57" t="s">
        <v>370</v>
      </c>
      <c r="L57">
        <v>1374</v>
      </c>
      <c r="N57">
        <v>1013</v>
      </c>
      <c r="O57" t="s">
        <v>371</v>
      </c>
      <c r="P57" t="s">
        <v>371</v>
      </c>
      <c r="Q57">
        <v>1</v>
      </c>
      <c r="W57">
        <v>0</v>
      </c>
      <c r="X57">
        <v>-1731369543</v>
      </c>
      <c r="Y57">
        <v>0.37</v>
      </c>
      <c r="AA57">
        <v>1</v>
      </c>
      <c r="AB57">
        <v>0</v>
      </c>
      <c r="AC57">
        <v>0</v>
      </c>
      <c r="AD57">
        <v>0</v>
      </c>
      <c r="AE57">
        <v>1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3</v>
      </c>
      <c r="AT57">
        <v>0.37</v>
      </c>
      <c r="AU57" t="s">
        <v>3</v>
      </c>
      <c r="AV57">
        <v>0</v>
      </c>
      <c r="AW57">
        <v>2</v>
      </c>
      <c r="AX57">
        <v>35944303</v>
      </c>
      <c r="AY57">
        <v>1</v>
      </c>
      <c r="AZ57">
        <v>0</v>
      </c>
      <c r="BA57">
        <v>53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Y57*Source!I45</f>
        <v>0.37</v>
      </c>
      <c r="CY57">
        <f t="shared" si="6"/>
        <v>1</v>
      </c>
      <c r="CZ57">
        <f t="shared" si="7"/>
        <v>1</v>
      </c>
      <c r="DA57">
        <f t="shared" si="8"/>
        <v>1</v>
      </c>
      <c r="DB57">
        <v>0</v>
      </c>
    </row>
    <row r="58" spans="1:106" x14ac:dyDescent="0.2">
      <c r="A58">
        <f>ROW(Source!A45)</f>
        <v>45</v>
      </c>
      <c r="B58">
        <v>35891596</v>
      </c>
      <c r="C58">
        <v>35944297</v>
      </c>
      <c r="D58">
        <v>0</v>
      </c>
      <c r="E58">
        <v>1</v>
      </c>
      <c r="F58">
        <v>1</v>
      </c>
      <c r="G58">
        <v>1</v>
      </c>
      <c r="H58">
        <v>3</v>
      </c>
      <c r="I58" t="s">
        <v>115</v>
      </c>
      <c r="J58" t="s">
        <v>3</v>
      </c>
      <c r="K58" t="s">
        <v>116</v>
      </c>
      <c r="L58">
        <v>1371</v>
      </c>
      <c r="N58">
        <v>1013</v>
      </c>
      <c r="O58" t="s">
        <v>112</v>
      </c>
      <c r="P58" t="s">
        <v>112</v>
      </c>
      <c r="Q58">
        <v>1</v>
      </c>
      <c r="W58">
        <v>0</v>
      </c>
      <c r="X58">
        <v>-1375043508</v>
      </c>
      <c r="Y58">
        <v>1</v>
      </c>
      <c r="AA58">
        <v>2149.15</v>
      </c>
      <c r="AB58">
        <v>0</v>
      </c>
      <c r="AC58">
        <v>0</v>
      </c>
      <c r="AD58">
        <v>0</v>
      </c>
      <c r="AE58">
        <v>309.28999999999996</v>
      </c>
      <c r="AF58">
        <v>0</v>
      </c>
      <c r="AG58">
        <v>0</v>
      </c>
      <c r="AH58">
        <v>0</v>
      </c>
      <c r="AI58">
        <v>7.3</v>
      </c>
      <c r="AJ58">
        <v>1</v>
      </c>
      <c r="AK58">
        <v>1</v>
      </c>
      <c r="AL58">
        <v>1</v>
      </c>
      <c r="AN58">
        <v>0</v>
      </c>
      <c r="AO58">
        <v>0</v>
      </c>
      <c r="AP58">
        <v>0</v>
      </c>
      <c r="AQ58">
        <v>0</v>
      </c>
      <c r="AR58">
        <v>0</v>
      </c>
      <c r="AS58" t="s">
        <v>3</v>
      </c>
      <c r="AT58">
        <v>1</v>
      </c>
      <c r="AU58" t="s">
        <v>3</v>
      </c>
      <c r="AV58">
        <v>0</v>
      </c>
      <c r="AW58">
        <v>1</v>
      </c>
      <c r="AX58">
        <v>-1</v>
      </c>
      <c r="AY58">
        <v>0</v>
      </c>
      <c r="AZ58">
        <v>0</v>
      </c>
      <c r="BA58" t="s">
        <v>3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Y58*Source!I45</f>
        <v>1</v>
      </c>
      <c r="CY58">
        <f t="shared" si="6"/>
        <v>2149.15</v>
      </c>
      <c r="CZ58">
        <f t="shared" si="7"/>
        <v>309.28999999999996</v>
      </c>
      <c r="DA58">
        <f t="shared" si="8"/>
        <v>7.3</v>
      </c>
      <c r="DB58">
        <v>0</v>
      </c>
    </row>
    <row r="59" spans="1:106" x14ac:dyDescent="0.2">
      <c r="A59">
        <f>ROW(Source!A47)</f>
        <v>47</v>
      </c>
      <c r="B59">
        <v>35891596</v>
      </c>
      <c r="C59">
        <v>35944307</v>
      </c>
      <c r="D59">
        <v>31709886</v>
      </c>
      <c r="E59">
        <v>1</v>
      </c>
      <c r="F59">
        <v>1</v>
      </c>
      <c r="G59">
        <v>1</v>
      </c>
      <c r="H59">
        <v>1</v>
      </c>
      <c r="I59" t="s">
        <v>367</v>
      </c>
      <c r="J59" t="s">
        <v>3</v>
      </c>
      <c r="K59" t="s">
        <v>368</v>
      </c>
      <c r="L59">
        <v>1191</v>
      </c>
      <c r="N59">
        <v>1013</v>
      </c>
      <c r="O59" t="s">
        <v>344</v>
      </c>
      <c r="P59" t="s">
        <v>344</v>
      </c>
      <c r="Q59">
        <v>1</v>
      </c>
      <c r="W59">
        <v>0</v>
      </c>
      <c r="X59">
        <v>1069510174</v>
      </c>
      <c r="Y59">
        <v>7.4639999999999995</v>
      </c>
      <c r="AA59">
        <v>0</v>
      </c>
      <c r="AB59">
        <v>0</v>
      </c>
      <c r="AC59">
        <v>0</v>
      </c>
      <c r="AD59">
        <v>9.6199999999999992</v>
      </c>
      <c r="AE59">
        <v>0</v>
      </c>
      <c r="AF59">
        <v>0</v>
      </c>
      <c r="AG59">
        <v>0</v>
      </c>
      <c r="AH59">
        <v>9.6199999999999992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6.22</v>
      </c>
      <c r="AU59" t="s">
        <v>40</v>
      </c>
      <c r="AV59">
        <v>1</v>
      </c>
      <c r="AW59">
        <v>2</v>
      </c>
      <c r="AX59">
        <v>35944308</v>
      </c>
      <c r="AY59">
        <v>1</v>
      </c>
      <c r="AZ59">
        <v>0</v>
      </c>
      <c r="BA59">
        <v>54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Y59*Source!I47</f>
        <v>7.4639999999999995</v>
      </c>
      <c r="CY59">
        <f>AD59</f>
        <v>9.6199999999999992</v>
      </c>
      <c r="CZ59">
        <f>AH59</f>
        <v>9.6199999999999992</v>
      </c>
      <c r="DA59">
        <f>AL59</f>
        <v>1</v>
      </c>
      <c r="DB59">
        <v>0</v>
      </c>
    </row>
    <row r="60" spans="1:106" x14ac:dyDescent="0.2">
      <c r="A60">
        <f>ROW(Source!A47)</f>
        <v>47</v>
      </c>
      <c r="B60">
        <v>35891596</v>
      </c>
      <c r="C60">
        <v>35944307</v>
      </c>
      <c r="D60">
        <v>31703727</v>
      </c>
      <c r="E60">
        <v>1</v>
      </c>
      <c r="F60">
        <v>1</v>
      </c>
      <c r="G60">
        <v>1</v>
      </c>
      <c r="H60">
        <v>1</v>
      </c>
      <c r="I60" t="s">
        <v>345</v>
      </c>
      <c r="J60" t="s">
        <v>3</v>
      </c>
      <c r="K60" t="s">
        <v>346</v>
      </c>
      <c r="L60">
        <v>1191</v>
      </c>
      <c r="N60">
        <v>1013</v>
      </c>
      <c r="O60" t="s">
        <v>344</v>
      </c>
      <c r="P60" t="s">
        <v>344</v>
      </c>
      <c r="Q60">
        <v>1</v>
      </c>
      <c r="W60">
        <v>0</v>
      </c>
      <c r="X60">
        <v>-1417349443</v>
      </c>
      <c r="Y60">
        <v>0.02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0.02</v>
      </c>
      <c r="AU60" t="s">
        <v>3</v>
      </c>
      <c r="AV60">
        <v>2</v>
      </c>
      <c r="AW60">
        <v>2</v>
      </c>
      <c r="AX60">
        <v>35944309</v>
      </c>
      <c r="AY60">
        <v>1</v>
      </c>
      <c r="AZ60">
        <v>2048</v>
      </c>
      <c r="BA60">
        <v>55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Y60*Source!I47</f>
        <v>0.02</v>
      </c>
      <c r="CY60">
        <f>AD60</f>
        <v>0</v>
      </c>
      <c r="CZ60">
        <f>AH60</f>
        <v>0</v>
      </c>
      <c r="DA60">
        <f>AL60</f>
        <v>1</v>
      </c>
      <c r="DB60">
        <v>0</v>
      </c>
    </row>
    <row r="61" spans="1:106" x14ac:dyDescent="0.2">
      <c r="A61">
        <f>ROW(Source!A47)</f>
        <v>47</v>
      </c>
      <c r="B61">
        <v>35891596</v>
      </c>
      <c r="C61">
        <v>35944307</v>
      </c>
      <c r="D61">
        <v>31519244</v>
      </c>
      <c r="E61">
        <v>1</v>
      </c>
      <c r="F61">
        <v>1</v>
      </c>
      <c r="G61">
        <v>1</v>
      </c>
      <c r="H61">
        <v>2</v>
      </c>
      <c r="I61" t="s">
        <v>351</v>
      </c>
      <c r="J61" t="s">
        <v>352</v>
      </c>
      <c r="K61" t="s">
        <v>353</v>
      </c>
      <c r="L61">
        <v>1368</v>
      </c>
      <c r="N61">
        <v>1011</v>
      </c>
      <c r="O61" t="s">
        <v>350</v>
      </c>
      <c r="P61" t="s">
        <v>350</v>
      </c>
      <c r="Q61">
        <v>1</v>
      </c>
      <c r="W61">
        <v>0</v>
      </c>
      <c r="X61">
        <v>-1718674368</v>
      </c>
      <c r="Y61">
        <v>1.2E-2</v>
      </c>
      <c r="AA61">
        <v>0</v>
      </c>
      <c r="AB61">
        <v>111.99</v>
      </c>
      <c r="AC61">
        <v>13.5</v>
      </c>
      <c r="AD61">
        <v>0</v>
      </c>
      <c r="AE61">
        <v>0</v>
      </c>
      <c r="AF61">
        <v>111.99</v>
      </c>
      <c r="AG61">
        <v>13.5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0.01</v>
      </c>
      <c r="AU61" t="s">
        <v>40</v>
      </c>
      <c r="AV61">
        <v>0</v>
      </c>
      <c r="AW61">
        <v>2</v>
      </c>
      <c r="AX61">
        <v>35944310</v>
      </c>
      <c r="AY61">
        <v>1</v>
      </c>
      <c r="AZ61">
        <v>0</v>
      </c>
      <c r="BA61">
        <v>56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Y61*Source!I47</f>
        <v>1.2E-2</v>
      </c>
      <c r="CY61">
        <f>AB61</f>
        <v>111.99</v>
      </c>
      <c r="CZ61">
        <f>AF61</f>
        <v>111.99</v>
      </c>
      <c r="DA61">
        <f>AJ61</f>
        <v>1</v>
      </c>
      <c r="DB61">
        <v>0</v>
      </c>
    </row>
    <row r="62" spans="1:106" x14ac:dyDescent="0.2">
      <c r="A62">
        <f>ROW(Source!A47)</f>
        <v>47</v>
      </c>
      <c r="B62">
        <v>35891596</v>
      </c>
      <c r="C62">
        <v>35944307</v>
      </c>
      <c r="D62">
        <v>31520646</v>
      </c>
      <c r="E62">
        <v>1</v>
      </c>
      <c r="F62">
        <v>1</v>
      </c>
      <c r="G62">
        <v>1</v>
      </c>
      <c r="H62">
        <v>2</v>
      </c>
      <c r="I62" t="s">
        <v>362</v>
      </c>
      <c r="J62" t="s">
        <v>363</v>
      </c>
      <c r="K62" t="s">
        <v>364</v>
      </c>
      <c r="L62">
        <v>1368</v>
      </c>
      <c r="N62">
        <v>1011</v>
      </c>
      <c r="O62" t="s">
        <v>350</v>
      </c>
      <c r="P62" t="s">
        <v>350</v>
      </c>
      <c r="Q62">
        <v>1</v>
      </c>
      <c r="W62">
        <v>0</v>
      </c>
      <c r="X62">
        <v>1372534845</v>
      </c>
      <c r="Y62">
        <v>1.2E-2</v>
      </c>
      <c r="AA62">
        <v>0</v>
      </c>
      <c r="AB62">
        <v>65.709999999999994</v>
      </c>
      <c r="AC62">
        <v>11.6</v>
      </c>
      <c r="AD62">
        <v>0</v>
      </c>
      <c r="AE62">
        <v>0</v>
      </c>
      <c r="AF62">
        <v>65.709999999999994</v>
      </c>
      <c r="AG62">
        <v>11.6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0.01</v>
      </c>
      <c r="AU62" t="s">
        <v>40</v>
      </c>
      <c r="AV62">
        <v>0</v>
      </c>
      <c r="AW62">
        <v>2</v>
      </c>
      <c r="AX62">
        <v>35944311</v>
      </c>
      <c r="AY62">
        <v>1</v>
      </c>
      <c r="AZ62">
        <v>0</v>
      </c>
      <c r="BA62">
        <v>57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Y62*Source!I47</f>
        <v>1.2E-2</v>
      </c>
      <c r="CY62">
        <f>AB62</f>
        <v>65.709999999999994</v>
      </c>
      <c r="CZ62">
        <f>AF62</f>
        <v>65.709999999999994</v>
      </c>
      <c r="DA62">
        <f>AJ62</f>
        <v>1</v>
      </c>
      <c r="DB62">
        <v>0</v>
      </c>
    </row>
    <row r="63" spans="1:106" x14ac:dyDescent="0.2">
      <c r="A63">
        <f>ROW(Source!A47)</f>
        <v>47</v>
      </c>
      <c r="B63">
        <v>35891596</v>
      </c>
      <c r="C63">
        <v>35944307</v>
      </c>
      <c r="D63">
        <v>31436888</v>
      </c>
      <c r="E63">
        <v>1</v>
      </c>
      <c r="F63">
        <v>1</v>
      </c>
      <c r="G63">
        <v>1</v>
      </c>
      <c r="H63">
        <v>3</v>
      </c>
      <c r="I63" t="s">
        <v>402</v>
      </c>
      <c r="J63" t="s">
        <v>403</v>
      </c>
      <c r="K63" t="s">
        <v>404</v>
      </c>
      <c r="L63">
        <v>1348</v>
      </c>
      <c r="N63">
        <v>1009</v>
      </c>
      <c r="O63" t="s">
        <v>384</v>
      </c>
      <c r="P63" t="s">
        <v>384</v>
      </c>
      <c r="Q63">
        <v>1000</v>
      </c>
      <c r="W63">
        <v>0</v>
      </c>
      <c r="X63">
        <v>-168273048</v>
      </c>
      <c r="Y63">
        <v>8.0000000000000004E-4</v>
      </c>
      <c r="AA63">
        <v>65710.179999999993</v>
      </c>
      <c r="AB63">
        <v>0</v>
      </c>
      <c r="AC63">
        <v>0</v>
      </c>
      <c r="AD63">
        <v>0</v>
      </c>
      <c r="AE63">
        <v>4488.3999999999996</v>
      </c>
      <c r="AF63">
        <v>0</v>
      </c>
      <c r="AG63">
        <v>0</v>
      </c>
      <c r="AH63">
        <v>0</v>
      </c>
      <c r="AI63">
        <v>14.64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8.0000000000000004E-4</v>
      </c>
      <c r="AU63" t="s">
        <v>3</v>
      </c>
      <c r="AV63">
        <v>0</v>
      </c>
      <c r="AW63">
        <v>2</v>
      </c>
      <c r="AX63">
        <v>35944312</v>
      </c>
      <c r="AY63">
        <v>1</v>
      </c>
      <c r="AZ63">
        <v>0</v>
      </c>
      <c r="BA63">
        <v>58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Y63*Source!I47</f>
        <v>8.0000000000000004E-4</v>
      </c>
      <c r="CY63">
        <f t="shared" ref="CY63:CY68" si="9">AA63</f>
        <v>65710.179999999993</v>
      </c>
      <c r="CZ63">
        <f t="shared" ref="CZ63:CZ68" si="10">AE63</f>
        <v>4488.3999999999996</v>
      </c>
      <c r="DA63">
        <f t="shared" ref="DA63:DA68" si="11">AI63</f>
        <v>14.64</v>
      </c>
      <c r="DB63">
        <v>0</v>
      </c>
    </row>
    <row r="64" spans="1:106" x14ac:dyDescent="0.2">
      <c r="A64">
        <f>ROW(Source!A47)</f>
        <v>47</v>
      </c>
      <c r="B64">
        <v>35891596</v>
      </c>
      <c r="C64">
        <v>35944307</v>
      </c>
      <c r="D64">
        <v>31436924</v>
      </c>
      <c r="E64">
        <v>1</v>
      </c>
      <c r="F64">
        <v>1</v>
      </c>
      <c r="G64">
        <v>1</v>
      </c>
      <c r="H64">
        <v>3</v>
      </c>
      <c r="I64" t="s">
        <v>405</v>
      </c>
      <c r="J64" t="s">
        <v>406</v>
      </c>
      <c r="K64" t="s">
        <v>407</v>
      </c>
      <c r="L64">
        <v>1348</v>
      </c>
      <c r="N64">
        <v>1009</v>
      </c>
      <c r="O64" t="s">
        <v>384</v>
      </c>
      <c r="P64" t="s">
        <v>384</v>
      </c>
      <c r="Q64">
        <v>1000</v>
      </c>
      <c r="W64">
        <v>0</v>
      </c>
      <c r="X64">
        <v>-1449423263</v>
      </c>
      <c r="Y64">
        <v>2.0000000000000002E-5</v>
      </c>
      <c r="AA64">
        <v>47985.8</v>
      </c>
      <c r="AB64">
        <v>0</v>
      </c>
      <c r="AC64">
        <v>0</v>
      </c>
      <c r="AD64">
        <v>0</v>
      </c>
      <c r="AE64">
        <v>8105.71</v>
      </c>
      <c r="AF64">
        <v>0</v>
      </c>
      <c r="AG64">
        <v>0</v>
      </c>
      <c r="AH64">
        <v>0</v>
      </c>
      <c r="AI64">
        <v>5.92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2.0000000000000002E-5</v>
      </c>
      <c r="AU64" t="s">
        <v>3</v>
      </c>
      <c r="AV64">
        <v>0</v>
      </c>
      <c r="AW64">
        <v>2</v>
      </c>
      <c r="AX64">
        <v>35944313</v>
      </c>
      <c r="AY64">
        <v>1</v>
      </c>
      <c r="AZ64">
        <v>0</v>
      </c>
      <c r="BA64">
        <v>59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Y64*Source!I47</f>
        <v>2.0000000000000002E-5</v>
      </c>
      <c r="CY64">
        <f t="shared" si="9"/>
        <v>47985.8</v>
      </c>
      <c r="CZ64">
        <f t="shared" si="10"/>
        <v>8105.71</v>
      </c>
      <c r="DA64">
        <f t="shared" si="11"/>
        <v>5.92</v>
      </c>
      <c r="DB64">
        <v>0</v>
      </c>
    </row>
    <row r="65" spans="1:106" x14ac:dyDescent="0.2">
      <c r="A65">
        <f>ROW(Source!A47)</f>
        <v>47</v>
      </c>
      <c r="B65">
        <v>35891596</v>
      </c>
      <c r="C65">
        <v>35944307</v>
      </c>
      <c r="D65">
        <v>31438964</v>
      </c>
      <c r="E65">
        <v>1</v>
      </c>
      <c r="F65">
        <v>1</v>
      </c>
      <c r="G65">
        <v>1</v>
      </c>
      <c r="H65">
        <v>3</v>
      </c>
      <c r="I65" t="s">
        <v>378</v>
      </c>
      <c r="J65" t="s">
        <v>379</v>
      </c>
      <c r="K65" t="s">
        <v>380</v>
      </c>
      <c r="L65">
        <v>1308</v>
      </c>
      <c r="N65">
        <v>1003</v>
      </c>
      <c r="O65" t="s">
        <v>73</v>
      </c>
      <c r="P65" t="s">
        <v>73</v>
      </c>
      <c r="Q65">
        <v>100</v>
      </c>
      <c r="W65">
        <v>0</v>
      </c>
      <c r="X65">
        <v>568244124</v>
      </c>
      <c r="Y65">
        <v>2.3999999999999998E-3</v>
      </c>
      <c r="AA65">
        <v>538.79999999999995</v>
      </c>
      <c r="AB65">
        <v>0</v>
      </c>
      <c r="AC65">
        <v>0</v>
      </c>
      <c r="AD65">
        <v>0</v>
      </c>
      <c r="AE65">
        <v>120</v>
      </c>
      <c r="AF65">
        <v>0</v>
      </c>
      <c r="AG65">
        <v>0</v>
      </c>
      <c r="AH65">
        <v>0</v>
      </c>
      <c r="AI65">
        <v>4.49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3</v>
      </c>
      <c r="AT65">
        <v>2.3999999999999998E-3</v>
      </c>
      <c r="AU65" t="s">
        <v>3</v>
      </c>
      <c r="AV65">
        <v>0</v>
      </c>
      <c r="AW65">
        <v>2</v>
      </c>
      <c r="AX65">
        <v>35944314</v>
      </c>
      <c r="AY65">
        <v>1</v>
      </c>
      <c r="AZ65">
        <v>0</v>
      </c>
      <c r="BA65">
        <v>60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Y65*Source!I47</f>
        <v>2.3999999999999998E-3</v>
      </c>
      <c r="CY65">
        <f t="shared" si="9"/>
        <v>538.79999999999995</v>
      </c>
      <c r="CZ65">
        <f t="shared" si="10"/>
        <v>120</v>
      </c>
      <c r="DA65">
        <f t="shared" si="11"/>
        <v>4.49</v>
      </c>
      <c r="DB65">
        <v>0</v>
      </c>
    </row>
    <row r="66" spans="1:106" x14ac:dyDescent="0.2">
      <c r="A66">
        <f>ROW(Source!A47)</f>
        <v>47</v>
      </c>
      <c r="B66">
        <v>35891596</v>
      </c>
      <c r="C66">
        <v>35944307</v>
      </c>
      <c r="D66">
        <v>31488994</v>
      </c>
      <c r="E66">
        <v>1</v>
      </c>
      <c r="F66">
        <v>1</v>
      </c>
      <c r="G66">
        <v>1</v>
      </c>
      <c r="H66">
        <v>3</v>
      </c>
      <c r="I66" t="s">
        <v>411</v>
      </c>
      <c r="J66" t="s">
        <v>412</v>
      </c>
      <c r="K66" t="s">
        <v>413</v>
      </c>
      <c r="L66">
        <v>1355</v>
      </c>
      <c r="N66">
        <v>1010</v>
      </c>
      <c r="O66" t="s">
        <v>414</v>
      </c>
      <c r="P66" t="s">
        <v>414</v>
      </c>
      <c r="Q66">
        <v>100</v>
      </c>
      <c r="W66">
        <v>0</v>
      </c>
      <c r="X66">
        <v>57676240</v>
      </c>
      <c r="Y66">
        <v>3.1E-2</v>
      </c>
      <c r="AA66">
        <v>2469.73</v>
      </c>
      <c r="AB66">
        <v>0</v>
      </c>
      <c r="AC66">
        <v>0</v>
      </c>
      <c r="AD66">
        <v>0</v>
      </c>
      <c r="AE66">
        <v>491</v>
      </c>
      <c r="AF66">
        <v>0</v>
      </c>
      <c r="AG66">
        <v>0</v>
      </c>
      <c r="AH66">
        <v>0</v>
      </c>
      <c r="AI66">
        <v>5.03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3</v>
      </c>
      <c r="AT66">
        <v>3.1E-2</v>
      </c>
      <c r="AU66" t="s">
        <v>3</v>
      </c>
      <c r="AV66">
        <v>0</v>
      </c>
      <c r="AW66">
        <v>2</v>
      </c>
      <c r="AX66">
        <v>35944315</v>
      </c>
      <c r="AY66">
        <v>1</v>
      </c>
      <c r="AZ66">
        <v>0</v>
      </c>
      <c r="BA66">
        <v>61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Y66*Source!I47</f>
        <v>3.1E-2</v>
      </c>
      <c r="CY66">
        <f t="shared" si="9"/>
        <v>2469.73</v>
      </c>
      <c r="CZ66">
        <f t="shared" si="10"/>
        <v>491</v>
      </c>
      <c r="DA66">
        <f t="shared" si="11"/>
        <v>5.03</v>
      </c>
      <c r="DB66">
        <v>0</v>
      </c>
    </row>
    <row r="67" spans="1:106" x14ac:dyDescent="0.2">
      <c r="A67">
        <f>ROW(Source!A47)</f>
        <v>47</v>
      </c>
      <c r="B67">
        <v>35891596</v>
      </c>
      <c r="C67">
        <v>35944307</v>
      </c>
      <c r="D67">
        <v>31435925</v>
      </c>
      <c r="E67">
        <v>17</v>
      </c>
      <c r="F67">
        <v>1</v>
      </c>
      <c r="G67">
        <v>1</v>
      </c>
      <c r="H67">
        <v>3</v>
      </c>
      <c r="I67" t="s">
        <v>369</v>
      </c>
      <c r="J67" t="s">
        <v>3</v>
      </c>
      <c r="K67" t="s">
        <v>370</v>
      </c>
      <c r="L67">
        <v>1374</v>
      </c>
      <c r="N67">
        <v>1013</v>
      </c>
      <c r="O67" t="s">
        <v>371</v>
      </c>
      <c r="P67" t="s">
        <v>371</v>
      </c>
      <c r="Q67">
        <v>1</v>
      </c>
      <c r="W67">
        <v>0</v>
      </c>
      <c r="X67">
        <v>-1731369543</v>
      </c>
      <c r="Y67">
        <v>1.2</v>
      </c>
      <c r="AA67">
        <v>1</v>
      </c>
      <c r="AB67">
        <v>0</v>
      </c>
      <c r="AC67">
        <v>0</v>
      </c>
      <c r="AD67">
        <v>0</v>
      </c>
      <c r="AE67">
        <v>1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3</v>
      </c>
      <c r="AT67">
        <v>1.2</v>
      </c>
      <c r="AU67" t="s">
        <v>3</v>
      </c>
      <c r="AV67">
        <v>0</v>
      </c>
      <c r="AW67">
        <v>2</v>
      </c>
      <c r="AX67">
        <v>35944316</v>
      </c>
      <c r="AY67">
        <v>1</v>
      </c>
      <c r="AZ67">
        <v>0</v>
      </c>
      <c r="BA67">
        <v>62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Y67*Source!I47</f>
        <v>1.2</v>
      </c>
      <c r="CY67">
        <f t="shared" si="9"/>
        <v>1</v>
      </c>
      <c r="CZ67">
        <f t="shared" si="10"/>
        <v>1</v>
      </c>
      <c r="DA67">
        <f t="shared" si="11"/>
        <v>1</v>
      </c>
      <c r="DB67">
        <v>0</v>
      </c>
    </row>
    <row r="68" spans="1:106" x14ac:dyDescent="0.2">
      <c r="A68">
        <f>ROW(Source!A47)</f>
        <v>47</v>
      </c>
      <c r="B68">
        <v>35891596</v>
      </c>
      <c r="C68">
        <v>35944307</v>
      </c>
      <c r="D68">
        <v>0</v>
      </c>
      <c r="E68">
        <v>1</v>
      </c>
      <c r="F68">
        <v>1</v>
      </c>
      <c r="G68">
        <v>1</v>
      </c>
      <c r="H68">
        <v>3</v>
      </c>
      <c r="I68" t="s">
        <v>123</v>
      </c>
      <c r="J68" t="s">
        <v>3</v>
      </c>
      <c r="K68" t="s">
        <v>124</v>
      </c>
      <c r="L68">
        <v>1371</v>
      </c>
      <c r="N68">
        <v>1013</v>
      </c>
      <c r="O68" t="s">
        <v>112</v>
      </c>
      <c r="P68" t="s">
        <v>112</v>
      </c>
      <c r="Q68">
        <v>1</v>
      </c>
      <c r="W68">
        <v>0</v>
      </c>
      <c r="X68">
        <v>121425004</v>
      </c>
      <c r="Y68">
        <v>1</v>
      </c>
      <c r="AA68">
        <v>1634.75</v>
      </c>
      <c r="AB68">
        <v>0</v>
      </c>
      <c r="AC68">
        <v>0</v>
      </c>
      <c r="AD68">
        <v>0</v>
      </c>
      <c r="AE68">
        <v>235.27</v>
      </c>
      <c r="AF68">
        <v>0</v>
      </c>
      <c r="AG68">
        <v>0</v>
      </c>
      <c r="AH68">
        <v>0</v>
      </c>
      <c r="AI68">
        <v>7.3</v>
      </c>
      <c r="AJ68">
        <v>1</v>
      </c>
      <c r="AK68">
        <v>1</v>
      </c>
      <c r="AL68">
        <v>1</v>
      </c>
      <c r="AN68">
        <v>0</v>
      </c>
      <c r="AO68">
        <v>0</v>
      </c>
      <c r="AP68">
        <v>0</v>
      </c>
      <c r="AQ68">
        <v>0</v>
      </c>
      <c r="AR68">
        <v>0</v>
      </c>
      <c r="AS68" t="s">
        <v>3</v>
      </c>
      <c r="AT68">
        <v>1</v>
      </c>
      <c r="AU68" t="s">
        <v>3</v>
      </c>
      <c r="AV68">
        <v>0</v>
      </c>
      <c r="AW68">
        <v>1</v>
      </c>
      <c r="AX68">
        <v>-1</v>
      </c>
      <c r="AY68">
        <v>0</v>
      </c>
      <c r="AZ68">
        <v>0</v>
      </c>
      <c r="BA68" t="s">
        <v>3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Y68*Source!I47</f>
        <v>1</v>
      </c>
      <c r="CY68">
        <f t="shared" si="9"/>
        <v>1634.75</v>
      </c>
      <c r="CZ68">
        <f t="shared" si="10"/>
        <v>235.27</v>
      </c>
      <c r="DA68">
        <f t="shared" si="11"/>
        <v>7.3</v>
      </c>
      <c r="DB68">
        <v>0</v>
      </c>
    </row>
    <row r="69" spans="1:106" x14ac:dyDescent="0.2">
      <c r="A69">
        <f>ROW(Source!A49)</f>
        <v>49</v>
      </c>
      <c r="B69">
        <v>35891596</v>
      </c>
      <c r="C69">
        <v>35892109</v>
      </c>
      <c r="D69">
        <v>31709886</v>
      </c>
      <c r="E69">
        <v>1</v>
      </c>
      <c r="F69">
        <v>1</v>
      </c>
      <c r="G69">
        <v>1</v>
      </c>
      <c r="H69">
        <v>1</v>
      </c>
      <c r="I69" t="s">
        <v>367</v>
      </c>
      <c r="J69" t="s">
        <v>3</v>
      </c>
      <c r="K69" t="s">
        <v>368</v>
      </c>
      <c r="L69">
        <v>1191</v>
      </c>
      <c r="N69">
        <v>1013</v>
      </c>
      <c r="O69" t="s">
        <v>344</v>
      </c>
      <c r="P69" t="s">
        <v>344</v>
      </c>
      <c r="Q69">
        <v>1</v>
      </c>
      <c r="W69">
        <v>0</v>
      </c>
      <c r="X69">
        <v>1069510174</v>
      </c>
      <c r="Y69">
        <v>18.143999999999998</v>
      </c>
      <c r="AA69">
        <v>0</v>
      </c>
      <c r="AB69">
        <v>0</v>
      </c>
      <c r="AC69">
        <v>0</v>
      </c>
      <c r="AD69">
        <v>9.6199999999999992</v>
      </c>
      <c r="AE69">
        <v>0</v>
      </c>
      <c r="AF69">
        <v>0</v>
      </c>
      <c r="AG69">
        <v>0</v>
      </c>
      <c r="AH69">
        <v>9.6199999999999992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15.12</v>
      </c>
      <c r="AU69" t="s">
        <v>40</v>
      </c>
      <c r="AV69">
        <v>1</v>
      </c>
      <c r="AW69">
        <v>2</v>
      </c>
      <c r="AX69">
        <v>35892112</v>
      </c>
      <c r="AY69">
        <v>1</v>
      </c>
      <c r="AZ69">
        <v>0</v>
      </c>
      <c r="BA69">
        <v>63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Y69*Source!I49</f>
        <v>0.72575999999999996</v>
      </c>
      <c r="CY69">
        <f>AD69</f>
        <v>9.6199999999999992</v>
      </c>
      <c r="CZ69">
        <f>AH69</f>
        <v>9.6199999999999992</v>
      </c>
      <c r="DA69">
        <f>AL69</f>
        <v>1</v>
      </c>
      <c r="DB69">
        <v>0</v>
      </c>
    </row>
    <row r="70" spans="1:106" x14ac:dyDescent="0.2">
      <c r="A70">
        <f>ROW(Source!A49)</f>
        <v>49</v>
      </c>
      <c r="B70">
        <v>35891596</v>
      </c>
      <c r="C70">
        <v>35892109</v>
      </c>
      <c r="D70">
        <v>31435925</v>
      </c>
      <c r="E70">
        <v>17</v>
      </c>
      <c r="F70">
        <v>1</v>
      </c>
      <c r="G70">
        <v>1</v>
      </c>
      <c r="H70">
        <v>3</v>
      </c>
      <c r="I70" t="s">
        <v>369</v>
      </c>
      <c r="J70" t="s">
        <v>3</v>
      </c>
      <c r="K70" t="s">
        <v>370</v>
      </c>
      <c r="L70">
        <v>1374</v>
      </c>
      <c r="N70">
        <v>1013</v>
      </c>
      <c r="O70" t="s">
        <v>371</v>
      </c>
      <c r="P70" t="s">
        <v>371</v>
      </c>
      <c r="Q70">
        <v>1</v>
      </c>
      <c r="W70">
        <v>0</v>
      </c>
      <c r="X70">
        <v>-1731369543</v>
      </c>
      <c r="Y70">
        <v>2.91</v>
      </c>
      <c r="AA70">
        <v>1</v>
      </c>
      <c r="AB70">
        <v>0</v>
      </c>
      <c r="AC70">
        <v>0</v>
      </c>
      <c r="AD70">
        <v>0</v>
      </c>
      <c r="AE70">
        <v>1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</v>
      </c>
      <c r="AT70">
        <v>2.91</v>
      </c>
      <c r="AU70" t="s">
        <v>3</v>
      </c>
      <c r="AV70">
        <v>0</v>
      </c>
      <c r="AW70">
        <v>2</v>
      </c>
      <c r="AX70">
        <v>35892113</v>
      </c>
      <c r="AY70">
        <v>1</v>
      </c>
      <c r="AZ70">
        <v>0</v>
      </c>
      <c r="BA70">
        <v>64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Y70*Source!I49</f>
        <v>0.1164</v>
      </c>
      <c r="CY70">
        <f>AA70</f>
        <v>1</v>
      </c>
      <c r="CZ70">
        <f>AE70</f>
        <v>1</v>
      </c>
      <c r="DA70">
        <f>AI70</f>
        <v>1</v>
      </c>
      <c r="DB70">
        <v>0</v>
      </c>
    </row>
    <row r="71" spans="1:106" x14ac:dyDescent="0.2">
      <c r="A71">
        <f>ROW(Source!A50)</f>
        <v>50</v>
      </c>
      <c r="B71">
        <v>35891596</v>
      </c>
      <c r="C71">
        <v>35892114</v>
      </c>
      <c r="D71">
        <v>31710352</v>
      </c>
      <c r="E71">
        <v>1</v>
      </c>
      <c r="F71">
        <v>1</v>
      </c>
      <c r="G71">
        <v>1</v>
      </c>
      <c r="H71">
        <v>1</v>
      </c>
      <c r="I71" t="s">
        <v>394</v>
      </c>
      <c r="J71" t="s">
        <v>3</v>
      </c>
      <c r="K71" t="s">
        <v>395</v>
      </c>
      <c r="L71">
        <v>1191</v>
      </c>
      <c r="N71">
        <v>1013</v>
      </c>
      <c r="O71" t="s">
        <v>344</v>
      </c>
      <c r="P71" t="s">
        <v>344</v>
      </c>
      <c r="Q71">
        <v>1</v>
      </c>
      <c r="W71">
        <v>0</v>
      </c>
      <c r="X71">
        <v>-1972610816</v>
      </c>
      <c r="Y71">
        <v>116.64</v>
      </c>
      <c r="AA71">
        <v>0</v>
      </c>
      <c r="AB71">
        <v>0</v>
      </c>
      <c r="AC71">
        <v>0</v>
      </c>
      <c r="AD71">
        <v>7.5</v>
      </c>
      <c r="AE71">
        <v>0</v>
      </c>
      <c r="AF71">
        <v>0</v>
      </c>
      <c r="AG71">
        <v>0</v>
      </c>
      <c r="AH71">
        <v>7.5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97.2</v>
      </c>
      <c r="AU71" t="s">
        <v>40</v>
      </c>
      <c r="AV71">
        <v>1</v>
      </c>
      <c r="AW71">
        <v>2</v>
      </c>
      <c r="AX71">
        <v>35892116</v>
      </c>
      <c r="AY71">
        <v>1</v>
      </c>
      <c r="AZ71">
        <v>0</v>
      </c>
      <c r="BA71">
        <v>65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Y71*Source!I50</f>
        <v>13.553568</v>
      </c>
      <c r="CY71">
        <f>AD71</f>
        <v>7.5</v>
      </c>
      <c r="CZ71">
        <f>AH71</f>
        <v>7.5</v>
      </c>
      <c r="DA71">
        <f>AL71</f>
        <v>1</v>
      </c>
      <c r="DB71">
        <v>0</v>
      </c>
    </row>
    <row r="72" spans="1:106" x14ac:dyDescent="0.2">
      <c r="A72">
        <f>ROW(Source!A51)</f>
        <v>51</v>
      </c>
      <c r="B72">
        <v>35891596</v>
      </c>
      <c r="C72">
        <v>36049415</v>
      </c>
      <c r="D72">
        <v>31706971</v>
      </c>
      <c r="E72">
        <v>1</v>
      </c>
      <c r="F72">
        <v>1</v>
      </c>
      <c r="G72">
        <v>1</v>
      </c>
      <c r="H72">
        <v>1</v>
      </c>
      <c r="I72" t="s">
        <v>415</v>
      </c>
      <c r="J72" t="s">
        <v>3</v>
      </c>
      <c r="K72" t="s">
        <v>416</v>
      </c>
      <c r="L72">
        <v>1191</v>
      </c>
      <c r="N72">
        <v>1013</v>
      </c>
      <c r="O72" t="s">
        <v>344</v>
      </c>
      <c r="P72" t="s">
        <v>344</v>
      </c>
      <c r="Q72">
        <v>1</v>
      </c>
      <c r="W72">
        <v>0</v>
      </c>
      <c r="X72">
        <v>-1366118074</v>
      </c>
      <c r="Y72">
        <v>48</v>
      </c>
      <c r="AA72">
        <v>0</v>
      </c>
      <c r="AB72">
        <v>0</v>
      </c>
      <c r="AC72">
        <v>0</v>
      </c>
      <c r="AD72">
        <v>7.94</v>
      </c>
      <c r="AE72">
        <v>0</v>
      </c>
      <c r="AF72">
        <v>0</v>
      </c>
      <c r="AG72">
        <v>0</v>
      </c>
      <c r="AH72">
        <v>7.94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40</v>
      </c>
      <c r="AU72" t="s">
        <v>40</v>
      </c>
      <c r="AV72">
        <v>1</v>
      </c>
      <c r="AW72">
        <v>2</v>
      </c>
      <c r="AX72">
        <v>36049416</v>
      </c>
      <c r="AY72">
        <v>1</v>
      </c>
      <c r="AZ72">
        <v>0</v>
      </c>
      <c r="BA72">
        <v>66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Y72*Source!I51</f>
        <v>12</v>
      </c>
      <c r="CY72">
        <f>AD72</f>
        <v>7.94</v>
      </c>
      <c r="CZ72">
        <f>AH72</f>
        <v>7.94</v>
      </c>
      <c r="DA72">
        <f>AL72</f>
        <v>1</v>
      </c>
      <c r="DB72">
        <v>0</v>
      </c>
    </row>
    <row r="73" spans="1:106" x14ac:dyDescent="0.2">
      <c r="A73">
        <f>ROW(Source!A51)</f>
        <v>51</v>
      </c>
      <c r="B73">
        <v>35891596</v>
      </c>
      <c r="C73">
        <v>36049415</v>
      </c>
      <c r="D73">
        <v>31477053</v>
      </c>
      <c r="E73">
        <v>1</v>
      </c>
      <c r="F73">
        <v>1</v>
      </c>
      <c r="G73">
        <v>1</v>
      </c>
      <c r="H73">
        <v>3</v>
      </c>
      <c r="I73" t="s">
        <v>417</v>
      </c>
      <c r="J73" t="s">
        <v>418</v>
      </c>
      <c r="K73" t="s">
        <v>419</v>
      </c>
      <c r="L73">
        <v>1339</v>
      </c>
      <c r="N73">
        <v>1007</v>
      </c>
      <c r="O73" t="s">
        <v>50</v>
      </c>
      <c r="P73" t="s">
        <v>50</v>
      </c>
      <c r="Q73">
        <v>1</v>
      </c>
      <c r="W73">
        <v>0</v>
      </c>
      <c r="X73">
        <v>-34043592</v>
      </c>
      <c r="Y73">
        <v>15</v>
      </c>
      <c r="AA73">
        <v>762.38</v>
      </c>
      <c r="AB73">
        <v>0</v>
      </c>
      <c r="AC73">
        <v>0</v>
      </c>
      <c r="AD73">
        <v>0</v>
      </c>
      <c r="AE73">
        <v>131.9</v>
      </c>
      <c r="AF73">
        <v>0</v>
      </c>
      <c r="AG73">
        <v>0</v>
      </c>
      <c r="AH73">
        <v>0</v>
      </c>
      <c r="AI73">
        <v>5.78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3</v>
      </c>
      <c r="AT73">
        <v>15</v>
      </c>
      <c r="AU73" t="s">
        <v>3</v>
      </c>
      <c r="AV73">
        <v>0</v>
      </c>
      <c r="AW73">
        <v>2</v>
      </c>
      <c r="AX73">
        <v>36049417</v>
      </c>
      <c r="AY73">
        <v>1</v>
      </c>
      <c r="AZ73">
        <v>0</v>
      </c>
      <c r="BA73">
        <v>67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Y73*Source!I51</f>
        <v>3.75</v>
      </c>
      <c r="CY73">
        <f>AA73</f>
        <v>762.38</v>
      </c>
      <c r="CZ73">
        <f>AE73</f>
        <v>131.9</v>
      </c>
      <c r="DA73">
        <f>AI73</f>
        <v>5.78</v>
      </c>
      <c r="DB73">
        <v>0</v>
      </c>
    </row>
    <row r="74" spans="1:106" x14ac:dyDescent="0.2">
      <c r="A74">
        <f>ROW(Source!A52)</f>
        <v>52</v>
      </c>
      <c r="B74">
        <v>35891596</v>
      </c>
      <c r="C74">
        <v>35892128</v>
      </c>
      <c r="D74">
        <v>31705589</v>
      </c>
      <c r="E74">
        <v>1</v>
      </c>
      <c r="F74">
        <v>1</v>
      </c>
      <c r="G74">
        <v>1</v>
      </c>
      <c r="H74">
        <v>1</v>
      </c>
      <c r="I74" t="s">
        <v>420</v>
      </c>
      <c r="J74" t="s">
        <v>3</v>
      </c>
      <c r="K74" t="s">
        <v>421</v>
      </c>
      <c r="L74">
        <v>1191</v>
      </c>
      <c r="N74">
        <v>1013</v>
      </c>
      <c r="O74" t="s">
        <v>344</v>
      </c>
      <c r="P74" t="s">
        <v>344</v>
      </c>
      <c r="Q74">
        <v>1</v>
      </c>
      <c r="W74">
        <v>0</v>
      </c>
      <c r="X74">
        <v>-608433632</v>
      </c>
      <c r="Y74">
        <v>7.1879999999999997</v>
      </c>
      <c r="AA74">
        <v>0</v>
      </c>
      <c r="AB74">
        <v>0</v>
      </c>
      <c r="AC74">
        <v>0</v>
      </c>
      <c r="AD74">
        <v>8.4600000000000009</v>
      </c>
      <c r="AE74">
        <v>0</v>
      </c>
      <c r="AF74">
        <v>0</v>
      </c>
      <c r="AG74">
        <v>0</v>
      </c>
      <c r="AH74">
        <v>8.4600000000000009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5.99</v>
      </c>
      <c r="AU74" t="s">
        <v>40</v>
      </c>
      <c r="AV74">
        <v>1</v>
      </c>
      <c r="AW74">
        <v>2</v>
      </c>
      <c r="AX74">
        <v>35892134</v>
      </c>
      <c r="AY74">
        <v>1</v>
      </c>
      <c r="AZ74">
        <v>0</v>
      </c>
      <c r="BA74">
        <v>68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Y74*Source!I52</f>
        <v>1.7969999999999999</v>
      </c>
      <c r="CY74">
        <f>AD74</f>
        <v>8.4600000000000009</v>
      </c>
      <c r="CZ74">
        <f>AH74</f>
        <v>8.4600000000000009</v>
      </c>
      <c r="DA74">
        <f>AL74</f>
        <v>1</v>
      </c>
      <c r="DB74">
        <v>0</v>
      </c>
    </row>
    <row r="75" spans="1:106" x14ac:dyDescent="0.2">
      <c r="A75">
        <f>ROW(Source!A52)</f>
        <v>52</v>
      </c>
      <c r="B75">
        <v>35891596</v>
      </c>
      <c r="C75">
        <v>35892128</v>
      </c>
      <c r="D75">
        <v>31703727</v>
      </c>
      <c r="E75">
        <v>1</v>
      </c>
      <c r="F75">
        <v>1</v>
      </c>
      <c r="G75">
        <v>1</v>
      </c>
      <c r="H75">
        <v>1</v>
      </c>
      <c r="I75" t="s">
        <v>345</v>
      </c>
      <c r="J75" t="s">
        <v>3</v>
      </c>
      <c r="K75" t="s">
        <v>346</v>
      </c>
      <c r="L75">
        <v>1191</v>
      </c>
      <c r="N75">
        <v>1013</v>
      </c>
      <c r="O75" t="s">
        <v>344</v>
      </c>
      <c r="P75" t="s">
        <v>344</v>
      </c>
      <c r="Q75">
        <v>1</v>
      </c>
      <c r="W75">
        <v>0</v>
      </c>
      <c r="X75">
        <v>-1417349443</v>
      </c>
      <c r="Y75">
        <v>2.74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0</v>
      </c>
      <c r="AQ75">
        <v>0</v>
      </c>
      <c r="AR75">
        <v>0</v>
      </c>
      <c r="AS75" t="s">
        <v>3</v>
      </c>
      <c r="AT75">
        <v>2.74</v>
      </c>
      <c r="AU75" t="s">
        <v>3</v>
      </c>
      <c r="AV75">
        <v>2</v>
      </c>
      <c r="AW75">
        <v>2</v>
      </c>
      <c r="AX75">
        <v>35892135</v>
      </c>
      <c r="AY75">
        <v>1</v>
      </c>
      <c r="AZ75">
        <v>2048</v>
      </c>
      <c r="BA75">
        <v>69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Y75*Source!I52</f>
        <v>0.68500000000000005</v>
      </c>
      <c r="CY75">
        <f>AD75</f>
        <v>0</v>
      </c>
      <c r="CZ75">
        <f>AH75</f>
        <v>0</v>
      </c>
      <c r="DA75">
        <f>AL75</f>
        <v>1</v>
      </c>
      <c r="DB75">
        <v>0</v>
      </c>
    </row>
    <row r="76" spans="1:106" x14ac:dyDescent="0.2">
      <c r="A76">
        <f>ROW(Source!A52)</f>
        <v>52</v>
      </c>
      <c r="B76">
        <v>35891596</v>
      </c>
      <c r="C76">
        <v>35892128</v>
      </c>
      <c r="D76">
        <v>31520575</v>
      </c>
      <c r="E76">
        <v>1</v>
      </c>
      <c r="F76">
        <v>1</v>
      </c>
      <c r="G76">
        <v>1</v>
      </c>
      <c r="H76">
        <v>2</v>
      </c>
      <c r="I76" t="s">
        <v>359</v>
      </c>
      <c r="J76" t="s">
        <v>360</v>
      </c>
      <c r="K76" t="s">
        <v>361</v>
      </c>
      <c r="L76">
        <v>1368</v>
      </c>
      <c r="N76">
        <v>1011</v>
      </c>
      <c r="O76" t="s">
        <v>350</v>
      </c>
      <c r="P76" t="s">
        <v>350</v>
      </c>
      <c r="Q76">
        <v>1</v>
      </c>
      <c r="W76">
        <v>0</v>
      </c>
      <c r="X76">
        <v>529073949</v>
      </c>
      <c r="Y76">
        <v>3.2880000000000003</v>
      </c>
      <c r="AA76">
        <v>0</v>
      </c>
      <c r="AB76">
        <v>110</v>
      </c>
      <c r="AC76">
        <v>11.6</v>
      </c>
      <c r="AD76">
        <v>0</v>
      </c>
      <c r="AE76">
        <v>0</v>
      </c>
      <c r="AF76">
        <v>110</v>
      </c>
      <c r="AG76">
        <v>11.6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2.74</v>
      </c>
      <c r="AU76" t="s">
        <v>40</v>
      </c>
      <c r="AV76">
        <v>0</v>
      </c>
      <c r="AW76">
        <v>2</v>
      </c>
      <c r="AX76">
        <v>35892136</v>
      </c>
      <c r="AY76">
        <v>1</v>
      </c>
      <c r="AZ76">
        <v>0</v>
      </c>
      <c r="BA76">
        <v>70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Y76*Source!I52</f>
        <v>0.82200000000000006</v>
      </c>
      <c r="CY76">
        <f>AB76</f>
        <v>110</v>
      </c>
      <c r="CZ76">
        <f>AF76</f>
        <v>110</v>
      </c>
      <c r="DA76">
        <f>AJ76</f>
        <v>1</v>
      </c>
      <c r="DB76">
        <v>0</v>
      </c>
    </row>
    <row r="77" spans="1:106" x14ac:dyDescent="0.2">
      <c r="A77">
        <f>ROW(Source!A52)</f>
        <v>52</v>
      </c>
      <c r="B77">
        <v>35891596</v>
      </c>
      <c r="C77">
        <v>35892128</v>
      </c>
      <c r="D77">
        <v>31438650</v>
      </c>
      <c r="E77">
        <v>1</v>
      </c>
      <c r="F77">
        <v>1</v>
      </c>
      <c r="G77">
        <v>1</v>
      </c>
      <c r="H77">
        <v>3</v>
      </c>
      <c r="I77" t="s">
        <v>422</v>
      </c>
      <c r="J77" t="s">
        <v>423</v>
      </c>
      <c r="K77" t="s">
        <v>424</v>
      </c>
      <c r="L77">
        <v>1339</v>
      </c>
      <c r="N77">
        <v>1007</v>
      </c>
      <c r="O77" t="s">
        <v>50</v>
      </c>
      <c r="P77" t="s">
        <v>50</v>
      </c>
      <c r="Q77">
        <v>1</v>
      </c>
      <c r="W77">
        <v>0</v>
      </c>
      <c r="X77">
        <v>-1660354250</v>
      </c>
      <c r="Y77">
        <v>10</v>
      </c>
      <c r="AA77">
        <v>17.010000000000002</v>
      </c>
      <c r="AB77">
        <v>0</v>
      </c>
      <c r="AC77">
        <v>0</v>
      </c>
      <c r="AD77">
        <v>0</v>
      </c>
      <c r="AE77">
        <v>2.44</v>
      </c>
      <c r="AF77">
        <v>0</v>
      </c>
      <c r="AG77">
        <v>0</v>
      </c>
      <c r="AH77">
        <v>0</v>
      </c>
      <c r="AI77">
        <v>6.97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0</v>
      </c>
      <c r="AQ77">
        <v>0</v>
      </c>
      <c r="AR77">
        <v>0</v>
      </c>
      <c r="AS77" t="s">
        <v>3</v>
      </c>
      <c r="AT77">
        <v>10</v>
      </c>
      <c r="AU77" t="s">
        <v>3</v>
      </c>
      <c r="AV77">
        <v>0</v>
      </c>
      <c r="AW77">
        <v>2</v>
      </c>
      <c r="AX77">
        <v>35892137</v>
      </c>
      <c r="AY77">
        <v>1</v>
      </c>
      <c r="AZ77">
        <v>0</v>
      </c>
      <c r="BA77">
        <v>71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Y77*Source!I52</f>
        <v>2.5</v>
      </c>
      <c r="CY77">
        <f>AA77</f>
        <v>17.010000000000002</v>
      </c>
      <c r="CZ77">
        <f>AE77</f>
        <v>2.44</v>
      </c>
      <c r="DA77">
        <f>AI77</f>
        <v>6.97</v>
      </c>
      <c r="DB77">
        <v>0</v>
      </c>
    </row>
    <row r="78" spans="1:106" x14ac:dyDescent="0.2">
      <c r="A78">
        <f>ROW(Source!A52)</f>
        <v>52</v>
      </c>
      <c r="B78">
        <v>35891596</v>
      </c>
      <c r="C78">
        <v>35892128</v>
      </c>
      <c r="D78">
        <v>31477308</v>
      </c>
      <c r="E78">
        <v>1</v>
      </c>
      <c r="F78">
        <v>1</v>
      </c>
      <c r="G78">
        <v>1</v>
      </c>
      <c r="H78">
        <v>3</v>
      </c>
      <c r="I78" t="s">
        <v>144</v>
      </c>
      <c r="J78" t="s">
        <v>147</v>
      </c>
      <c r="K78" t="s">
        <v>145</v>
      </c>
      <c r="L78">
        <v>1346</v>
      </c>
      <c r="N78">
        <v>1009</v>
      </c>
      <c r="O78" t="s">
        <v>146</v>
      </c>
      <c r="P78" t="s">
        <v>146</v>
      </c>
      <c r="Q78">
        <v>1</v>
      </c>
      <c r="W78">
        <v>0</v>
      </c>
      <c r="X78">
        <v>-1440369693</v>
      </c>
      <c r="Y78">
        <v>2</v>
      </c>
      <c r="AA78">
        <v>134.55000000000001</v>
      </c>
      <c r="AB78">
        <v>0</v>
      </c>
      <c r="AC78">
        <v>0</v>
      </c>
      <c r="AD78">
        <v>0</v>
      </c>
      <c r="AE78">
        <v>146.25</v>
      </c>
      <c r="AF78">
        <v>0</v>
      </c>
      <c r="AG78">
        <v>0</v>
      </c>
      <c r="AH78">
        <v>0</v>
      </c>
      <c r="AI78">
        <v>0.92</v>
      </c>
      <c r="AJ78">
        <v>1</v>
      </c>
      <c r="AK78">
        <v>1</v>
      </c>
      <c r="AL78">
        <v>1</v>
      </c>
      <c r="AN78">
        <v>0</v>
      </c>
      <c r="AO78">
        <v>0</v>
      </c>
      <c r="AP78">
        <v>0</v>
      </c>
      <c r="AQ78">
        <v>0</v>
      </c>
      <c r="AR78">
        <v>0</v>
      </c>
      <c r="AS78" t="s">
        <v>3</v>
      </c>
      <c r="AT78">
        <v>2</v>
      </c>
      <c r="AU78" t="s">
        <v>3</v>
      </c>
      <c r="AV78">
        <v>0</v>
      </c>
      <c r="AW78">
        <v>1</v>
      </c>
      <c r="AX78">
        <v>-1</v>
      </c>
      <c r="AY78">
        <v>0</v>
      </c>
      <c r="AZ78">
        <v>0</v>
      </c>
      <c r="BA78" t="s">
        <v>3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Y78*Source!I52</f>
        <v>0.5</v>
      </c>
      <c r="CY78">
        <f>AA78</f>
        <v>134.55000000000001</v>
      </c>
      <c r="CZ78">
        <f>AE78</f>
        <v>146.25</v>
      </c>
      <c r="DA78">
        <f>AI78</f>
        <v>0.92</v>
      </c>
      <c r="DB78">
        <v>0</v>
      </c>
    </row>
    <row r="79" spans="1:106" x14ac:dyDescent="0.2">
      <c r="A79">
        <f>ROW(Source!A92)</f>
        <v>92</v>
      </c>
      <c r="B79">
        <v>35891596</v>
      </c>
      <c r="C79">
        <v>35892191</v>
      </c>
      <c r="D79">
        <v>31719628</v>
      </c>
      <c r="E79">
        <v>1</v>
      </c>
      <c r="F79">
        <v>1</v>
      </c>
      <c r="G79">
        <v>1</v>
      </c>
      <c r="H79">
        <v>1</v>
      </c>
      <c r="I79" t="s">
        <v>425</v>
      </c>
      <c r="J79" t="s">
        <v>3</v>
      </c>
      <c r="K79" t="s">
        <v>426</v>
      </c>
      <c r="L79">
        <v>1191</v>
      </c>
      <c r="N79">
        <v>1013</v>
      </c>
      <c r="O79" t="s">
        <v>344</v>
      </c>
      <c r="P79" t="s">
        <v>344</v>
      </c>
      <c r="Q79">
        <v>1</v>
      </c>
      <c r="W79">
        <v>0</v>
      </c>
      <c r="X79">
        <v>912892513</v>
      </c>
      <c r="Y79">
        <v>3.9143999999999997</v>
      </c>
      <c r="AA79">
        <v>0</v>
      </c>
      <c r="AB79">
        <v>0</v>
      </c>
      <c r="AC79">
        <v>0</v>
      </c>
      <c r="AD79">
        <v>9.92</v>
      </c>
      <c r="AE79">
        <v>0</v>
      </c>
      <c r="AF79">
        <v>0</v>
      </c>
      <c r="AG79">
        <v>0</v>
      </c>
      <c r="AH79">
        <v>9.92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4.66</v>
      </c>
      <c r="AU79" t="s">
        <v>223</v>
      </c>
      <c r="AV79">
        <v>1</v>
      </c>
      <c r="AW79">
        <v>2</v>
      </c>
      <c r="AX79">
        <v>35892202</v>
      </c>
      <c r="AY79">
        <v>1</v>
      </c>
      <c r="AZ79">
        <v>0</v>
      </c>
      <c r="BA79">
        <v>73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Y79*Source!I92</f>
        <v>3.9143999999999997</v>
      </c>
      <c r="CY79">
        <f>AD79</f>
        <v>9.92</v>
      </c>
      <c r="CZ79">
        <f>AH79</f>
        <v>9.92</v>
      </c>
      <c r="DA79">
        <f>AL79</f>
        <v>1</v>
      </c>
      <c r="DB79">
        <v>0</v>
      </c>
    </row>
    <row r="80" spans="1:106" x14ac:dyDescent="0.2">
      <c r="A80">
        <f>ROW(Source!A92)</f>
        <v>92</v>
      </c>
      <c r="B80">
        <v>35891596</v>
      </c>
      <c r="C80">
        <v>35892191</v>
      </c>
      <c r="D80">
        <v>31703727</v>
      </c>
      <c r="E80">
        <v>1</v>
      </c>
      <c r="F80">
        <v>1</v>
      </c>
      <c r="G80">
        <v>1</v>
      </c>
      <c r="H80">
        <v>1</v>
      </c>
      <c r="I80" t="s">
        <v>345</v>
      </c>
      <c r="J80" t="s">
        <v>3</v>
      </c>
      <c r="K80" t="s">
        <v>346</v>
      </c>
      <c r="L80">
        <v>1191</v>
      </c>
      <c r="N80">
        <v>1013</v>
      </c>
      <c r="O80" t="s">
        <v>344</v>
      </c>
      <c r="P80" t="s">
        <v>344</v>
      </c>
      <c r="Q80">
        <v>1</v>
      </c>
      <c r="W80">
        <v>0</v>
      </c>
      <c r="X80">
        <v>-1417349443</v>
      </c>
      <c r="Y80">
        <v>0.82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3</v>
      </c>
      <c r="AT80">
        <v>0.82</v>
      </c>
      <c r="AU80" t="s">
        <v>3</v>
      </c>
      <c r="AV80">
        <v>2</v>
      </c>
      <c r="AW80">
        <v>2</v>
      </c>
      <c r="AX80">
        <v>35892203</v>
      </c>
      <c r="AY80">
        <v>1</v>
      </c>
      <c r="AZ80">
        <v>2048</v>
      </c>
      <c r="BA80">
        <v>74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Y80*Source!I92</f>
        <v>0.82</v>
      </c>
      <c r="CY80">
        <f>AD80</f>
        <v>0</v>
      </c>
      <c r="CZ80">
        <f>AH80</f>
        <v>0</v>
      </c>
      <c r="DA80">
        <f>AL80</f>
        <v>1</v>
      </c>
      <c r="DB80">
        <v>0</v>
      </c>
    </row>
    <row r="81" spans="1:106" x14ac:dyDescent="0.2">
      <c r="A81">
        <f>ROW(Source!A92)</f>
        <v>92</v>
      </c>
      <c r="B81">
        <v>35891596</v>
      </c>
      <c r="C81">
        <v>35892191</v>
      </c>
      <c r="D81">
        <v>31519244</v>
      </c>
      <c r="E81">
        <v>1</v>
      </c>
      <c r="F81">
        <v>1</v>
      </c>
      <c r="G81">
        <v>1</v>
      </c>
      <c r="H81">
        <v>2</v>
      </c>
      <c r="I81" t="s">
        <v>351</v>
      </c>
      <c r="J81" t="s">
        <v>352</v>
      </c>
      <c r="K81" t="s">
        <v>353</v>
      </c>
      <c r="L81">
        <v>1368</v>
      </c>
      <c r="N81">
        <v>1011</v>
      </c>
      <c r="O81" t="s">
        <v>350</v>
      </c>
      <c r="P81" t="s">
        <v>350</v>
      </c>
      <c r="Q81">
        <v>1</v>
      </c>
      <c r="W81">
        <v>0</v>
      </c>
      <c r="X81">
        <v>-1718674368</v>
      </c>
      <c r="Y81">
        <v>0.34439999999999998</v>
      </c>
      <c r="AA81">
        <v>0</v>
      </c>
      <c r="AB81">
        <v>111.99</v>
      </c>
      <c r="AC81">
        <v>13.5</v>
      </c>
      <c r="AD81">
        <v>0</v>
      </c>
      <c r="AE81">
        <v>0</v>
      </c>
      <c r="AF81">
        <v>111.99</v>
      </c>
      <c r="AG81">
        <v>13.5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0.41</v>
      </c>
      <c r="AU81" t="s">
        <v>223</v>
      </c>
      <c r="AV81">
        <v>0</v>
      </c>
      <c r="AW81">
        <v>2</v>
      </c>
      <c r="AX81">
        <v>35892204</v>
      </c>
      <c r="AY81">
        <v>1</v>
      </c>
      <c r="AZ81">
        <v>0</v>
      </c>
      <c r="BA81">
        <v>75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Y81*Source!I92</f>
        <v>0.34439999999999998</v>
      </c>
      <c r="CY81">
        <f>AB81</f>
        <v>111.99</v>
      </c>
      <c r="CZ81">
        <f>AF81</f>
        <v>111.99</v>
      </c>
      <c r="DA81">
        <f>AJ81</f>
        <v>1</v>
      </c>
      <c r="DB81">
        <v>0</v>
      </c>
    </row>
    <row r="82" spans="1:106" x14ac:dyDescent="0.2">
      <c r="A82">
        <f>ROW(Source!A92)</f>
        <v>92</v>
      </c>
      <c r="B82">
        <v>35891596</v>
      </c>
      <c r="C82">
        <v>35892191</v>
      </c>
      <c r="D82">
        <v>31520646</v>
      </c>
      <c r="E82">
        <v>1</v>
      </c>
      <c r="F82">
        <v>1</v>
      </c>
      <c r="G82">
        <v>1</v>
      </c>
      <c r="H82">
        <v>2</v>
      </c>
      <c r="I82" t="s">
        <v>362</v>
      </c>
      <c r="J82" t="s">
        <v>363</v>
      </c>
      <c r="K82" t="s">
        <v>364</v>
      </c>
      <c r="L82">
        <v>1368</v>
      </c>
      <c r="N82">
        <v>1011</v>
      </c>
      <c r="O82" t="s">
        <v>350</v>
      </c>
      <c r="P82" t="s">
        <v>350</v>
      </c>
      <c r="Q82">
        <v>1</v>
      </c>
      <c r="W82">
        <v>0</v>
      </c>
      <c r="X82">
        <v>1372534845</v>
      </c>
      <c r="Y82">
        <v>0.34439999999999998</v>
      </c>
      <c r="AA82">
        <v>0</v>
      </c>
      <c r="AB82">
        <v>65.709999999999994</v>
      </c>
      <c r="AC82">
        <v>11.6</v>
      </c>
      <c r="AD82">
        <v>0</v>
      </c>
      <c r="AE82">
        <v>0</v>
      </c>
      <c r="AF82">
        <v>65.709999999999994</v>
      </c>
      <c r="AG82">
        <v>11.6</v>
      </c>
      <c r="AH82">
        <v>0</v>
      </c>
      <c r="AI82">
        <v>1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0.41</v>
      </c>
      <c r="AU82" t="s">
        <v>223</v>
      </c>
      <c r="AV82">
        <v>0</v>
      </c>
      <c r="AW82">
        <v>2</v>
      </c>
      <c r="AX82">
        <v>35892205</v>
      </c>
      <c r="AY82">
        <v>1</v>
      </c>
      <c r="AZ82">
        <v>0</v>
      </c>
      <c r="BA82">
        <v>76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Y82*Source!I92</f>
        <v>0.34439999999999998</v>
      </c>
      <c r="CY82">
        <f>AB82</f>
        <v>65.709999999999994</v>
      </c>
      <c r="CZ82">
        <f>AF82</f>
        <v>65.709999999999994</v>
      </c>
      <c r="DA82">
        <f>AJ82</f>
        <v>1</v>
      </c>
      <c r="DB82">
        <v>0</v>
      </c>
    </row>
    <row r="83" spans="1:106" x14ac:dyDescent="0.2">
      <c r="A83">
        <f>ROW(Source!A92)</f>
        <v>92</v>
      </c>
      <c r="B83">
        <v>35891596</v>
      </c>
      <c r="C83">
        <v>35892191</v>
      </c>
      <c r="D83">
        <v>31520988</v>
      </c>
      <c r="E83">
        <v>1</v>
      </c>
      <c r="F83">
        <v>1</v>
      </c>
      <c r="G83">
        <v>1</v>
      </c>
      <c r="H83">
        <v>2</v>
      </c>
      <c r="I83" t="s">
        <v>427</v>
      </c>
      <c r="J83" t="s">
        <v>428</v>
      </c>
      <c r="K83" t="s">
        <v>429</v>
      </c>
      <c r="L83">
        <v>1368</v>
      </c>
      <c r="N83">
        <v>1011</v>
      </c>
      <c r="O83" t="s">
        <v>350</v>
      </c>
      <c r="P83" t="s">
        <v>350</v>
      </c>
      <c r="Q83">
        <v>1</v>
      </c>
      <c r="W83">
        <v>0</v>
      </c>
      <c r="X83">
        <v>-353815937</v>
      </c>
      <c r="Y83">
        <v>0.87359999999999993</v>
      </c>
      <c r="AA83">
        <v>0</v>
      </c>
      <c r="AB83">
        <v>8.1</v>
      </c>
      <c r="AC83">
        <v>0</v>
      </c>
      <c r="AD83">
        <v>0</v>
      </c>
      <c r="AE83">
        <v>0</v>
      </c>
      <c r="AF83">
        <v>8.1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1.04</v>
      </c>
      <c r="AU83" t="s">
        <v>223</v>
      </c>
      <c r="AV83">
        <v>0</v>
      </c>
      <c r="AW83">
        <v>2</v>
      </c>
      <c r="AX83">
        <v>35892206</v>
      </c>
      <c r="AY83">
        <v>1</v>
      </c>
      <c r="AZ83">
        <v>0</v>
      </c>
      <c r="BA83">
        <v>77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Y83*Source!I92</f>
        <v>0.87359999999999993</v>
      </c>
      <c r="CY83">
        <f>AB83</f>
        <v>8.1</v>
      </c>
      <c r="CZ83">
        <f>AF83</f>
        <v>8.1</v>
      </c>
      <c r="DA83">
        <f>AJ83</f>
        <v>1</v>
      </c>
      <c r="DB83">
        <v>0</v>
      </c>
    </row>
    <row r="84" spans="1:106" x14ac:dyDescent="0.2">
      <c r="A84">
        <f>ROW(Source!A92)</f>
        <v>92</v>
      </c>
      <c r="B84">
        <v>35891596</v>
      </c>
      <c r="C84">
        <v>35892191</v>
      </c>
      <c r="D84">
        <v>31440116</v>
      </c>
      <c r="E84">
        <v>1</v>
      </c>
      <c r="F84">
        <v>1</v>
      </c>
      <c r="G84">
        <v>1</v>
      </c>
      <c r="H84">
        <v>3</v>
      </c>
      <c r="I84" t="s">
        <v>430</v>
      </c>
      <c r="J84" t="s">
        <v>431</v>
      </c>
      <c r="K84" t="s">
        <v>432</v>
      </c>
      <c r="L84">
        <v>1346</v>
      </c>
      <c r="N84">
        <v>1009</v>
      </c>
      <c r="O84" t="s">
        <v>146</v>
      </c>
      <c r="P84" t="s">
        <v>146</v>
      </c>
      <c r="Q84">
        <v>1</v>
      </c>
      <c r="W84">
        <v>0</v>
      </c>
      <c r="X84">
        <v>586013393</v>
      </c>
      <c r="Y84">
        <v>0</v>
      </c>
      <c r="AA84">
        <v>79.38</v>
      </c>
      <c r="AB84">
        <v>0</v>
      </c>
      <c r="AC84">
        <v>0</v>
      </c>
      <c r="AD84">
        <v>0</v>
      </c>
      <c r="AE84">
        <v>10.57</v>
      </c>
      <c r="AF84">
        <v>0</v>
      </c>
      <c r="AG84">
        <v>0</v>
      </c>
      <c r="AH84">
        <v>0</v>
      </c>
      <c r="AI84">
        <v>7.51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0.3</v>
      </c>
      <c r="AU84" t="s">
        <v>222</v>
      </c>
      <c r="AV84">
        <v>0</v>
      </c>
      <c r="AW84">
        <v>2</v>
      </c>
      <c r="AX84">
        <v>35892207</v>
      </c>
      <c r="AY84">
        <v>1</v>
      </c>
      <c r="AZ84">
        <v>0</v>
      </c>
      <c r="BA84">
        <v>78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Y84*Source!I92</f>
        <v>0</v>
      </c>
      <c r="CY84">
        <f>AA84</f>
        <v>79.38</v>
      </c>
      <c r="CZ84">
        <f>AE84</f>
        <v>10.57</v>
      </c>
      <c r="DA84">
        <f>AI84</f>
        <v>7.51</v>
      </c>
      <c r="DB84">
        <v>0</v>
      </c>
    </row>
    <row r="85" spans="1:106" x14ac:dyDescent="0.2">
      <c r="A85">
        <f>ROW(Source!A92)</f>
        <v>92</v>
      </c>
      <c r="B85">
        <v>35891596</v>
      </c>
      <c r="C85">
        <v>35892191</v>
      </c>
      <c r="D85">
        <v>31441306</v>
      </c>
      <c r="E85">
        <v>1</v>
      </c>
      <c r="F85">
        <v>1</v>
      </c>
      <c r="G85">
        <v>1</v>
      </c>
      <c r="H85">
        <v>3</v>
      </c>
      <c r="I85" t="s">
        <v>433</v>
      </c>
      <c r="J85" t="s">
        <v>434</v>
      </c>
      <c r="K85" t="s">
        <v>435</v>
      </c>
      <c r="L85">
        <v>1346</v>
      </c>
      <c r="N85">
        <v>1009</v>
      </c>
      <c r="O85" t="s">
        <v>146</v>
      </c>
      <c r="P85" t="s">
        <v>146</v>
      </c>
      <c r="Q85">
        <v>1</v>
      </c>
      <c r="W85">
        <v>0</v>
      </c>
      <c r="X85">
        <v>103900845</v>
      </c>
      <c r="Y85">
        <v>0</v>
      </c>
      <c r="AA85">
        <v>76.12</v>
      </c>
      <c r="AB85">
        <v>0</v>
      </c>
      <c r="AC85">
        <v>0</v>
      </c>
      <c r="AD85">
        <v>0</v>
      </c>
      <c r="AE85">
        <v>9.0399999999999991</v>
      </c>
      <c r="AF85">
        <v>0</v>
      </c>
      <c r="AG85">
        <v>0</v>
      </c>
      <c r="AH85">
        <v>0</v>
      </c>
      <c r="AI85">
        <v>8.42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0.06</v>
      </c>
      <c r="AU85" t="s">
        <v>222</v>
      </c>
      <c r="AV85">
        <v>0</v>
      </c>
      <c r="AW85">
        <v>2</v>
      </c>
      <c r="AX85">
        <v>35892208</v>
      </c>
      <c r="AY85">
        <v>1</v>
      </c>
      <c r="AZ85">
        <v>0</v>
      </c>
      <c r="BA85">
        <v>79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Y85*Source!I92</f>
        <v>0</v>
      </c>
      <c r="CY85">
        <f>AA85</f>
        <v>76.12</v>
      </c>
      <c r="CZ85">
        <f>AE85</f>
        <v>9.0399999999999991</v>
      </c>
      <c r="DA85">
        <f>AI85</f>
        <v>8.42</v>
      </c>
      <c r="DB85">
        <v>0</v>
      </c>
    </row>
    <row r="86" spans="1:106" x14ac:dyDescent="0.2">
      <c r="A86">
        <f>ROW(Source!A92)</f>
        <v>92</v>
      </c>
      <c r="B86">
        <v>35891596</v>
      </c>
      <c r="C86">
        <v>35892191</v>
      </c>
      <c r="D86">
        <v>31460021</v>
      </c>
      <c r="E86">
        <v>1</v>
      </c>
      <c r="F86">
        <v>1</v>
      </c>
      <c r="G86">
        <v>1</v>
      </c>
      <c r="H86">
        <v>3</v>
      </c>
      <c r="I86" t="s">
        <v>436</v>
      </c>
      <c r="J86" t="s">
        <v>437</v>
      </c>
      <c r="K86" t="s">
        <v>438</v>
      </c>
      <c r="L86">
        <v>1348</v>
      </c>
      <c r="N86">
        <v>1009</v>
      </c>
      <c r="O86" t="s">
        <v>384</v>
      </c>
      <c r="P86" t="s">
        <v>384</v>
      </c>
      <c r="Q86">
        <v>1000</v>
      </c>
      <c r="W86">
        <v>0</v>
      </c>
      <c r="X86">
        <v>426000481</v>
      </c>
      <c r="Y86">
        <v>0</v>
      </c>
      <c r="AA86">
        <v>46345</v>
      </c>
      <c r="AB86">
        <v>0</v>
      </c>
      <c r="AC86">
        <v>0</v>
      </c>
      <c r="AD86">
        <v>0</v>
      </c>
      <c r="AE86">
        <v>11500</v>
      </c>
      <c r="AF86">
        <v>0</v>
      </c>
      <c r="AG86">
        <v>0</v>
      </c>
      <c r="AH86">
        <v>0</v>
      </c>
      <c r="AI86">
        <v>4.03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0.03</v>
      </c>
      <c r="AU86" t="s">
        <v>222</v>
      </c>
      <c r="AV86">
        <v>0</v>
      </c>
      <c r="AW86">
        <v>2</v>
      </c>
      <c r="AX86">
        <v>35892209</v>
      </c>
      <c r="AY86">
        <v>1</v>
      </c>
      <c r="AZ86">
        <v>0</v>
      </c>
      <c r="BA86">
        <v>80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Y86*Source!I92</f>
        <v>0</v>
      </c>
      <c r="CY86">
        <f>AA86</f>
        <v>46345</v>
      </c>
      <c r="CZ86">
        <f>AE86</f>
        <v>11500</v>
      </c>
      <c r="DA86">
        <f>AI86</f>
        <v>4.03</v>
      </c>
      <c r="DB86">
        <v>0</v>
      </c>
    </row>
    <row r="87" spans="1:106" x14ac:dyDescent="0.2">
      <c r="A87">
        <f>ROW(Source!A92)</f>
        <v>92</v>
      </c>
      <c r="B87">
        <v>35891596</v>
      </c>
      <c r="C87">
        <v>35892191</v>
      </c>
      <c r="D87">
        <v>31475211</v>
      </c>
      <c r="E87">
        <v>1</v>
      </c>
      <c r="F87">
        <v>1</v>
      </c>
      <c r="G87">
        <v>1</v>
      </c>
      <c r="H87">
        <v>3</v>
      </c>
      <c r="I87" t="s">
        <v>388</v>
      </c>
      <c r="J87" t="s">
        <v>389</v>
      </c>
      <c r="K87" t="s">
        <v>390</v>
      </c>
      <c r="L87">
        <v>1346</v>
      </c>
      <c r="N87">
        <v>1009</v>
      </c>
      <c r="O87" t="s">
        <v>146</v>
      </c>
      <c r="P87" t="s">
        <v>146</v>
      </c>
      <c r="Q87">
        <v>1</v>
      </c>
      <c r="W87">
        <v>0</v>
      </c>
      <c r="X87">
        <v>210558753</v>
      </c>
      <c r="Y87">
        <v>0</v>
      </c>
      <c r="AA87">
        <v>63.21</v>
      </c>
      <c r="AB87">
        <v>0</v>
      </c>
      <c r="AC87">
        <v>0</v>
      </c>
      <c r="AD87">
        <v>0</v>
      </c>
      <c r="AE87">
        <v>28.6</v>
      </c>
      <c r="AF87">
        <v>0</v>
      </c>
      <c r="AG87">
        <v>0</v>
      </c>
      <c r="AH87">
        <v>0</v>
      </c>
      <c r="AI87">
        <v>2.21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0.05</v>
      </c>
      <c r="AU87" t="s">
        <v>222</v>
      </c>
      <c r="AV87">
        <v>0</v>
      </c>
      <c r="AW87">
        <v>2</v>
      </c>
      <c r="AX87">
        <v>35892210</v>
      </c>
      <c r="AY87">
        <v>1</v>
      </c>
      <c r="AZ87">
        <v>0</v>
      </c>
      <c r="BA87">
        <v>81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Y87*Source!I92</f>
        <v>0</v>
      </c>
      <c r="CY87">
        <f>AA87</f>
        <v>63.21</v>
      </c>
      <c r="CZ87">
        <f>AE87</f>
        <v>28.6</v>
      </c>
      <c r="DA87">
        <f>AI87</f>
        <v>2.21</v>
      </c>
      <c r="DB87">
        <v>0</v>
      </c>
    </row>
    <row r="88" spans="1:106" x14ac:dyDescent="0.2">
      <c r="A88">
        <f>ROW(Source!A92)</f>
        <v>92</v>
      </c>
      <c r="B88">
        <v>35891596</v>
      </c>
      <c r="C88">
        <v>35892191</v>
      </c>
      <c r="D88">
        <v>31435925</v>
      </c>
      <c r="E88">
        <v>17</v>
      </c>
      <c r="F88">
        <v>1</v>
      </c>
      <c r="G88">
        <v>1</v>
      </c>
      <c r="H88">
        <v>3</v>
      </c>
      <c r="I88" t="s">
        <v>369</v>
      </c>
      <c r="J88" t="s">
        <v>3</v>
      </c>
      <c r="K88" t="s">
        <v>370</v>
      </c>
      <c r="L88">
        <v>1374</v>
      </c>
      <c r="N88">
        <v>1013</v>
      </c>
      <c r="O88" t="s">
        <v>371</v>
      </c>
      <c r="P88" t="s">
        <v>371</v>
      </c>
      <c r="Q88">
        <v>1</v>
      </c>
      <c r="W88">
        <v>0</v>
      </c>
      <c r="X88">
        <v>-1731369543</v>
      </c>
      <c r="Y88">
        <v>0</v>
      </c>
      <c r="AA88">
        <v>1</v>
      </c>
      <c r="AB88">
        <v>0</v>
      </c>
      <c r="AC88">
        <v>0</v>
      </c>
      <c r="AD88">
        <v>0</v>
      </c>
      <c r="AE88">
        <v>1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0.92</v>
      </c>
      <c r="AU88" t="s">
        <v>222</v>
      </c>
      <c r="AV88">
        <v>0</v>
      </c>
      <c r="AW88">
        <v>2</v>
      </c>
      <c r="AX88">
        <v>35892211</v>
      </c>
      <c r="AY88">
        <v>1</v>
      </c>
      <c r="AZ88">
        <v>0</v>
      </c>
      <c r="BA88">
        <v>82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Y88*Source!I92</f>
        <v>0</v>
      </c>
      <c r="CY88">
        <f>AA88</f>
        <v>1</v>
      </c>
      <c r="CZ88">
        <f>AE88</f>
        <v>1</v>
      </c>
      <c r="DA88">
        <f>AI88</f>
        <v>1</v>
      </c>
      <c r="DB88">
        <v>0</v>
      </c>
    </row>
    <row r="89" spans="1:106" x14ac:dyDescent="0.2">
      <c r="A89">
        <f>ROW(Source!A93)</f>
        <v>93</v>
      </c>
      <c r="B89">
        <v>35891596</v>
      </c>
      <c r="C89">
        <v>35892212</v>
      </c>
      <c r="D89">
        <v>31709886</v>
      </c>
      <c r="E89">
        <v>1</v>
      </c>
      <c r="F89">
        <v>1</v>
      </c>
      <c r="G89">
        <v>1</v>
      </c>
      <c r="H89">
        <v>1</v>
      </c>
      <c r="I89" t="s">
        <v>367</v>
      </c>
      <c r="J89" t="s">
        <v>3</v>
      </c>
      <c r="K89" t="s">
        <v>368</v>
      </c>
      <c r="L89">
        <v>1191</v>
      </c>
      <c r="N89">
        <v>1013</v>
      </c>
      <c r="O89" t="s">
        <v>344</v>
      </c>
      <c r="P89" t="s">
        <v>344</v>
      </c>
      <c r="Q89">
        <v>1</v>
      </c>
      <c r="W89">
        <v>0</v>
      </c>
      <c r="X89">
        <v>1069510174</v>
      </c>
      <c r="Y89">
        <v>12.700799999999999</v>
      </c>
      <c r="AA89">
        <v>0</v>
      </c>
      <c r="AB89">
        <v>0</v>
      </c>
      <c r="AC89">
        <v>0</v>
      </c>
      <c r="AD89">
        <v>9.6199999999999992</v>
      </c>
      <c r="AE89">
        <v>0</v>
      </c>
      <c r="AF89">
        <v>0</v>
      </c>
      <c r="AG89">
        <v>0</v>
      </c>
      <c r="AH89">
        <v>9.6199999999999992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15.12</v>
      </c>
      <c r="AU89" t="s">
        <v>223</v>
      </c>
      <c r="AV89">
        <v>1</v>
      </c>
      <c r="AW89">
        <v>2</v>
      </c>
      <c r="AX89">
        <v>35892215</v>
      </c>
      <c r="AY89">
        <v>1</v>
      </c>
      <c r="AZ89">
        <v>0</v>
      </c>
      <c r="BA89">
        <v>83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Y89*Source!I93</f>
        <v>1.0160639999999999</v>
      </c>
      <c r="CY89">
        <f>AD89</f>
        <v>9.6199999999999992</v>
      </c>
      <c r="CZ89">
        <f>AH89</f>
        <v>9.6199999999999992</v>
      </c>
      <c r="DA89">
        <f>AL89</f>
        <v>1</v>
      </c>
      <c r="DB89">
        <v>0</v>
      </c>
    </row>
    <row r="90" spans="1:106" x14ac:dyDescent="0.2">
      <c r="A90">
        <f>ROW(Source!A93)</f>
        <v>93</v>
      </c>
      <c r="B90">
        <v>35891596</v>
      </c>
      <c r="C90">
        <v>35892212</v>
      </c>
      <c r="D90">
        <v>31435925</v>
      </c>
      <c r="E90">
        <v>17</v>
      </c>
      <c r="F90">
        <v>1</v>
      </c>
      <c r="G90">
        <v>1</v>
      </c>
      <c r="H90">
        <v>3</v>
      </c>
      <c r="I90" t="s">
        <v>369</v>
      </c>
      <c r="J90" t="s">
        <v>3</v>
      </c>
      <c r="K90" t="s">
        <v>370</v>
      </c>
      <c r="L90">
        <v>1374</v>
      </c>
      <c r="N90">
        <v>1013</v>
      </c>
      <c r="O90" t="s">
        <v>371</v>
      </c>
      <c r="P90" t="s">
        <v>371</v>
      </c>
      <c r="Q90">
        <v>1</v>
      </c>
      <c r="W90">
        <v>0</v>
      </c>
      <c r="X90">
        <v>-1731369543</v>
      </c>
      <c r="Y90">
        <v>0</v>
      </c>
      <c r="AA90">
        <v>1</v>
      </c>
      <c r="AB90">
        <v>0</v>
      </c>
      <c r="AC90">
        <v>0</v>
      </c>
      <c r="AD90">
        <v>0</v>
      </c>
      <c r="AE90">
        <v>1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2.91</v>
      </c>
      <c r="AU90" t="s">
        <v>222</v>
      </c>
      <c r="AV90">
        <v>0</v>
      </c>
      <c r="AW90">
        <v>2</v>
      </c>
      <c r="AX90">
        <v>35892216</v>
      </c>
      <c r="AY90">
        <v>1</v>
      </c>
      <c r="AZ90">
        <v>0</v>
      </c>
      <c r="BA90">
        <v>84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Y90*Source!I93</f>
        <v>0</v>
      </c>
      <c r="CY90">
        <f>AA90</f>
        <v>1</v>
      </c>
      <c r="CZ90">
        <f>AE90</f>
        <v>1</v>
      </c>
      <c r="DA90">
        <f>AI90</f>
        <v>1</v>
      </c>
      <c r="DB90">
        <v>0</v>
      </c>
    </row>
    <row r="91" spans="1:106" x14ac:dyDescent="0.2">
      <c r="A91">
        <f>ROW(Source!A94)</f>
        <v>94</v>
      </c>
      <c r="B91">
        <v>35891596</v>
      </c>
      <c r="C91">
        <v>35892217</v>
      </c>
      <c r="D91">
        <v>31704098</v>
      </c>
      <c r="E91">
        <v>1</v>
      </c>
      <c r="F91">
        <v>1</v>
      </c>
      <c r="G91">
        <v>1</v>
      </c>
      <c r="H91">
        <v>1</v>
      </c>
      <c r="I91" t="s">
        <v>439</v>
      </c>
      <c r="J91" t="s">
        <v>3</v>
      </c>
      <c r="K91" t="s">
        <v>440</v>
      </c>
      <c r="L91">
        <v>1191</v>
      </c>
      <c r="N91">
        <v>1013</v>
      </c>
      <c r="O91" t="s">
        <v>344</v>
      </c>
      <c r="P91" t="s">
        <v>344</v>
      </c>
      <c r="Q91">
        <v>1</v>
      </c>
      <c r="W91">
        <v>0</v>
      </c>
      <c r="X91">
        <v>-400197608</v>
      </c>
      <c r="Y91">
        <v>29.9376</v>
      </c>
      <c r="AA91">
        <v>0</v>
      </c>
      <c r="AB91">
        <v>0</v>
      </c>
      <c r="AC91">
        <v>0</v>
      </c>
      <c r="AD91">
        <v>8.5299999999999994</v>
      </c>
      <c r="AE91">
        <v>0</v>
      </c>
      <c r="AF91">
        <v>0</v>
      </c>
      <c r="AG91">
        <v>0</v>
      </c>
      <c r="AH91">
        <v>8.5299999999999994</v>
      </c>
      <c r="AI91">
        <v>1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35.64</v>
      </c>
      <c r="AU91" t="s">
        <v>223</v>
      </c>
      <c r="AV91">
        <v>1</v>
      </c>
      <c r="AW91">
        <v>2</v>
      </c>
      <c r="AX91">
        <v>35892224</v>
      </c>
      <c r="AY91">
        <v>1</v>
      </c>
      <c r="AZ91">
        <v>0</v>
      </c>
      <c r="BA91">
        <v>85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Y91*Source!I94</f>
        <v>1.49688</v>
      </c>
      <c r="CY91">
        <f>AD91</f>
        <v>8.5299999999999994</v>
      </c>
      <c r="CZ91">
        <f>AH91</f>
        <v>8.5299999999999994</v>
      </c>
      <c r="DA91">
        <f>AL91</f>
        <v>1</v>
      </c>
      <c r="DB91">
        <v>0</v>
      </c>
    </row>
    <row r="92" spans="1:106" x14ac:dyDescent="0.2">
      <c r="A92">
        <f>ROW(Source!A94)</f>
        <v>94</v>
      </c>
      <c r="B92">
        <v>35891596</v>
      </c>
      <c r="C92">
        <v>35892217</v>
      </c>
      <c r="D92">
        <v>31703727</v>
      </c>
      <c r="E92">
        <v>1</v>
      </c>
      <c r="F92">
        <v>1</v>
      </c>
      <c r="G92">
        <v>1</v>
      </c>
      <c r="H92">
        <v>1</v>
      </c>
      <c r="I92" t="s">
        <v>345</v>
      </c>
      <c r="J92" t="s">
        <v>3</v>
      </c>
      <c r="K92" t="s">
        <v>346</v>
      </c>
      <c r="L92">
        <v>1191</v>
      </c>
      <c r="N92">
        <v>1013</v>
      </c>
      <c r="O92" t="s">
        <v>344</v>
      </c>
      <c r="P92" t="s">
        <v>344</v>
      </c>
      <c r="Q92">
        <v>1</v>
      </c>
      <c r="W92">
        <v>0</v>
      </c>
      <c r="X92">
        <v>-1417349443</v>
      </c>
      <c r="Y92">
        <v>22.48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22.48</v>
      </c>
      <c r="AU92" t="s">
        <v>3</v>
      </c>
      <c r="AV92">
        <v>2</v>
      </c>
      <c r="AW92">
        <v>2</v>
      </c>
      <c r="AX92">
        <v>35892225</v>
      </c>
      <c r="AY92">
        <v>1</v>
      </c>
      <c r="AZ92">
        <v>2048</v>
      </c>
      <c r="BA92">
        <v>86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Y92*Source!I94</f>
        <v>1.1240000000000001</v>
      </c>
      <c r="CY92">
        <f>AD92</f>
        <v>0</v>
      </c>
      <c r="CZ92">
        <f>AH92</f>
        <v>0</v>
      </c>
      <c r="DA92">
        <f>AL92</f>
        <v>1</v>
      </c>
      <c r="DB92">
        <v>0</v>
      </c>
    </row>
    <row r="93" spans="1:106" x14ac:dyDescent="0.2">
      <c r="A93">
        <f>ROW(Source!A94)</f>
        <v>94</v>
      </c>
      <c r="B93">
        <v>35891596</v>
      </c>
      <c r="C93">
        <v>35892217</v>
      </c>
      <c r="D93">
        <v>31519053</v>
      </c>
      <c r="E93">
        <v>1</v>
      </c>
      <c r="F93">
        <v>1</v>
      </c>
      <c r="G93">
        <v>1</v>
      </c>
      <c r="H93">
        <v>2</v>
      </c>
      <c r="I93" t="s">
        <v>441</v>
      </c>
      <c r="J93" t="s">
        <v>442</v>
      </c>
      <c r="K93" t="s">
        <v>443</v>
      </c>
      <c r="L93">
        <v>1368</v>
      </c>
      <c r="N93">
        <v>1011</v>
      </c>
      <c r="O93" t="s">
        <v>350</v>
      </c>
      <c r="P93" t="s">
        <v>350</v>
      </c>
      <c r="Q93">
        <v>1</v>
      </c>
      <c r="W93">
        <v>0</v>
      </c>
      <c r="X93">
        <v>-742200527</v>
      </c>
      <c r="Y93">
        <v>9.1811999999999987</v>
      </c>
      <c r="AA93">
        <v>0</v>
      </c>
      <c r="AB93">
        <v>138.54</v>
      </c>
      <c r="AC93">
        <v>11.6</v>
      </c>
      <c r="AD93">
        <v>0</v>
      </c>
      <c r="AE93">
        <v>0</v>
      </c>
      <c r="AF93">
        <v>138.54</v>
      </c>
      <c r="AG93">
        <v>11.6</v>
      </c>
      <c r="AH93">
        <v>0</v>
      </c>
      <c r="AI93">
        <v>1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10.93</v>
      </c>
      <c r="AU93" t="s">
        <v>223</v>
      </c>
      <c r="AV93">
        <v>0</v>
      </c>
      <c r="AW93">
        <v>2</v>
      </c>
      <c r="AX93">
        <v>35892226</v>
      </c>
      <c r="AY93">
        <v>1</v>
      </c>
      <c r="AZ93">
        <v>0</v>
      </c>
      <c r="BA93">
        <v>87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Y93*Source!I94</f>
        <v>0.45905999999999997</v>
      </c>
      <c r="CY93">
        <f>AB93</f>
        <v>138.54</v>
      </c>
      <c r="CZ93">
        <f>AF93</f>
        <v>138.54</v>
      </c>
      <c r="DA93">
        <f>AJ93</f>
        <v>1</v>
      </c>
      <c r="DB93">
        <v>0</v>
      </c>
    </row>
    <row r="94" spans="1:106" x14ac:dyDescent="0.2">
      <c r="A94">
        <f>ROW(Source!A94)</f>
        <v>94</v>
      </c>
      <c r="B94">
        <v>35891596</v>
      </c>
      <c r="C94">
        <v>35892217</v>
      </c>
      <c r="D94">
        <v>31520637</v>
      </c>
      <c r="E94">
        <v>1</v>
      </c>
      <c r="F94">
        <v>1</v>
      </c>
      <c r="G94">
        <v>1</v>
      </c>
      <c r="H94">
        <v>2</v>
      </c>
      <c r="I94" t="s">
        <v>444</v>
      </c>
      <c r="J94" t="s">
        <v>445</v>
      </c>
      <c r="K94" t="s">
        <v>446</v>
      </c>
      <c r="L94">
        <v>1368</v>
      </c>
      <c r="N94">
        <v>1011</v>
      </c>
      <c r="O94" t="s">
        <v>350</v>
      </c>
      <c r="P94" t="s">
        <v>350</v>
      </c>
      <c r="Q94">
        <v>1</v>
      </c>
      <c r="W94">
        <v>0</v>
      </c>
      <c r="X94">
        <v>651530509</v>
      </c>
      <c r="Y94">
        <v>9.0215999999999994</v>
      </c>
      <c r="AA94">
        <v>0</v>
      </c>
      <c r="AB94">
        <v>173.51</v>
      </c>
      <c r="AC94">
        <v>13.5</v>
      </c>
      <c r="AD94">
        <v>0</v>
      </c>
      <c r="AE94">
        <v>0</v>
      </c>
      <c r="AF94">
        <v>173.51</v>
      </c>
      <c r="AG94">
        <v>13.5</v>
      </c>
      <c r="AH94">
        <v>0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10.74</v>
      </c>
      <c r="AU94" t="s">
        <v>223</v>
      </c>
      <c r="AV94">
        <v>0</v>
      </c>
      <c r="AW94">
        <v>2</v>
      </c>
      <c r="AX94">
        <v>35892227</v>
      </c>
      <c r="AY94">
        <v>1</v>
      </c>
      <c r="AZ94">
        <v>0</v>
      </c>
      <c r="BA94">
        <v>88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Y94*Source!I94</f>
        <v>0.45107999999999998</v>
      </c>
      <c r="CY94">
        <f>AB94</f>
        <v>173.51</v>
      </c>
      <c r="CZ94">
        <f>AF94</f>
        <v>173.51</v>
      </c>
      <c r="DA94">
        <f>AJ94</f>
        <v>1</v>
      </c>
      <c r="DB94">
        <v>0</v>
      </c>
    </row>
    <row r="95" spans="1:106" x14ac:dyDescent="0.2">
      <c r="A95">
        <f>ROW(Source!A94)</f>
        <v>94</v>
      </c>
      <c r="B95">
        <v>35891596</v>
      </c>
      <c r="C95">
        <v>35892217</v>
      </c>
      <c r="D95">
        <v>31520646</v>
      </c>
      <c r="E95">
        <v>1</v>
      </c>
      <c r="F95">
        <v>1</v>
      </c>
      <c r="G95">
        <v>1</v>
      </c>
      <c r="H95">
        <v>2</v>
      </c>
      <c r="I95" t="s">
        <v>362</v>
      </c>
      <c r="J95" t="s">
        <v>363</v>
      </c>
      <c r="K95" t="s">
        <v>364</v>
      </c>
      <c r="L95">
        <v>1368</v>
      </c>
      <c r="N95">
        <v>1011</v>
      </c>
      <c r="O95" t="s">
        <v>350</v>
      </c>
      <c r="P95" t="s">
        <v>350</v>
      </c>
      <c r="Q95">
        <v>1</v>
      </c>
      <c r="W95">
        <v>0</v>
      </c>
      <c r="X95">
        <v>1372534845</v>
      </c>
      <c r="Y95">
        <v>0.68039999999999989</v>
      </c>
      <c r="AA95">
        <v>0</v>
      </c>
      <c r="AB95">
        <v>65.709999999999994</v>
      </c>
      <c r="AC95">
        <v>11.6</v>
      </c>
      <c r="AD95">
        <v>0</v>
      </c>
      <c r="AE95">
        <v>0</v>
      </c>
      <c r="AF95">
        <v>65.709999999999994</v>
      </c>
      <c r="AG95">
        <v>11.6</v>
      </c>
      <c r="AH95">
        <v>0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0.81</v>
      </c>
      <c r="AU95" t="s">
        <v>223</v>
      </c>
      <c r="AV95">
        <v>0</v>
      </c>
      <c r="AW95">
        <v>2</v>
      </c>
      <c r="AX95">
        <v>35892228</v>
      </c>
      <c r="AY95">
        <v>1</v>
      </c>
      <c r="AZ95">
        <v>0</v>
      </c>
      <c r="BA95">
        <v>89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Y95*Source!I94</f>
        <v>3.4019999999999995E-2</v>
      </c>
      <c r="CY95">
        <f>AB95</f>
        <v>65.709999999999994</v>
      </c>
      <c r="CZ95">
        <f>AF95</f>
        <v>65.709999999999994</v>
      </c>
      <c r="DA95">
        <f>AJ95</f>
        <v>1</v>
      </c>
      <c r="DB95">
        <v>0</v>
      </c>
    </row>
    <row r="96" spans="1:106" x14ac:dyDescent="0.2">
      <c r="A96">
        <f>ROW(Source!A94)</f>
        <v>94</v>
      </c>
      <c r="B96">
        <v>35891596</v>
      </c>
      <c r="C96">
        <v>35892217</v>
      </c>
      <c r="D96">
        <v>31467157</v>
      </c>
      <c r="E96">
        <v>1</v>
      </c>
      <c r="F96">
        <v>1</v>
      </c>
      <c r="G96">
        <v>1</v>
      </c>
      <c r="H96">
        <v>3</v>
      </c>
      <c r="I96" t="s">
        <v>447</v>
      </c>
      <c r="J96" t="s">
        <v>448</v>
      </c>
      <c r="K96" t="s">
        <v>449</v>
      </c>
      <c r="L96">
        <v>1301</v>
      </c>
      <c r="N96">
        <v>1003</v>
      </c>
      <c r="O96" t="s">
        <v>88</v>
      </c>
      <c r="P96" t="s">
        <v>88</v>
      </c>
      <c r="Q96">
        <v>1</v>
      </c>
      <c r="W96">
        <v>0</v>
      </c>
      <c r="X96">
        <v>1321173899</v>
      </c>
      <c r="Y96">
        <v>0</v>
      </c>
      <c r="AA96">
        <v>18.72</v>
      </c>
      <c r="AB96">
        <v>0</v>
      </c>
      <c r="AC96">
        <v>0</v>
      </c>
      <c r="AD96">
        <v>0</v>
      </c>
      <c r="AE96">
        <v>4.17</v>
      </c>
      <c r="AF96">
        <v>0</v>
      </c>
      <c r="AG96">
        <v>0</v>
      </c>
      <c r="AH96">
        <v>0</v>
      </c>
      <c r="AI96">
        <v>4.49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55.9</v>
      </c>
      <c r="AU96" t="s">
        <v>222</v>
      </c>
      <c r="AV96">
        <v>0</v>
      </c>
      <c r="AW96">
        <v>2</v>
      </c>
      <c r="AX96">
        <v>35892231</v>
      </c>
      <c r="AY96">
        <v>1</v>
      </c>
      <c r="AZ96">
        <v>0</v>
      </c>
      <c r="BA96">
        <v>92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Y96*Source!I94</f>
        <v>0</v>
      </c>
      <c r="CY96">
        <f>AA96</f>
        <v>18.72</v>
      </c>
      <c r="CZ96">
        <f>AE96</f>
        <v>4.17</v>
      </c>
      <c r="DA96">
        <f>AI96</f>
        <v>4.49</v>
      </c>
      <c r="DB96">
        <v>0</v>
      </c>
    </row>
    <row r="97" spans="1:106" x14ac:dyDescent="0.2">
      <c r="A97">
        <f>ROW(Source!A95)</f>
        <v>95</v>
      </c>
      <c r="B97">
        <v>35891596</v>
      </c>
      <c r="C97">
        <v>35892232</v>
      </c>
      <c r="D97">
        <v>31704098</v>
      </c>
      <c r="E97">
        <v>1</v>
      </c>
      <c r="F97">
        <v>1</v>
      </c>
      <c r="G97">
        <v>1</v>
      </c>
      <c r="H97">
        <v>1</v>
      </c>
      <c r="I97" t="s">
        <v>439</v>
      </c>
      <c r="J97" t="s">
        <v>3</v>
      </c>
      <c r="K97" t="s">
        <v>440</v>
      </c>
      <c r="L97">
        <v>1191</v>
      </c>
      <c r="N97">
        <v>1013</v>
      </c>
      <c r="O97" t="s">
        <v>344</v>
      </c>
      <c r="P97" t="s">
        <v>344</v>
      </c>
      <c r="Q97">
        <v>1</v>
      </c>
      <c r="W97">
        <v>0</v>
      </c>
      <c r="X97">
        <v>-400197608</v>
      </c>
      <c r="Y97">
        <v>5.9724000000000004</v>
      </c>
      <c r="AA97">
        <v>0</v>
      </c>
      <c r="AB97">
        <v>0</v>
      </c>
      <c r="AC97">
        <v>0</v>
      </c>
      <c r="AD97">
        <v>8.5299999999999994</v>
      </c>
      <c r="AE97">
        <v>0</v>
      </c>
      <c r="AF97">
        <v>0</v>
      </c>
      <c r="AG97">
        <v>0</v>
      </c>
      <c r="AH97">
        <v>8.5299999999999994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7.11</v>
      </c>
      <c r="AU97" t="s">
        <v>223</v>
      </c>
      <c r="AV97">
        <v>1</v>
      </c>
      <c r="AW97">
        <v>2</v>
      </c>
      <c r="AX97">
        <v>35892237</v>
      </c>
      <c r="AY97">
        <v>1</v>
      </c>
      <c r="AZ97">
        <v>0</v>
      </c>
      <c r="BA97">
        <v>93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Y97*Source!I95</f>
        <v>1.79172</v>
      </c>
      <c r="CY97">
        <f>AD97</f>
        <v>8.5299999999999994</v>
      </c>
      <c r="CZ97">
        <f>AH97</f>
        <v>8.5299999999999994</v>
      </c>
      <c r="DA97">
        <f>AL97</f>
        <v>1</v>
      </c>
      <c r="DB97">
        <v>0</v>
      </c>
    </row>
    <row r="98" spans="1:106" x14ac:dyDescent="0.2">
      <c r="A98">
        <f>ROW(Source!A95)</f>
        <v>95</v>
      </c>
      <c r="B98">
        <v>35891596</v>
      </c>
      <c r="C98">
        <v>35892232</v>
      </c>
      <c r="D98">
        <v>31703727</v>
      </c>
      <c r="E98">
        <v>1</v>
      </c>
      <c r="F98">
        <v>1</v>
      </c>
      <c r="G98">
        <v>1</v>
      </c>
      <c r="H98">
        <v>1</v>
      </c>
      <c r="I98" t="s">
        <v>345</v>
      </c>
      <c r="J98" t="s">
        <v>3</v>
      </c>
      <c r="K98" t="s">
        <v>346</v>
      </c>
      <c r="L98">
        <v>1191</v>
      </c>
      <c r="N98">
        <v>1013</v>
      </c>
      <c r="O98" t="s">
        <v>344</v>
      </c>
      <c r="P98" t="s">
        <v>344</v>
      </c>
      <c r="Q98">
        <v>1</v>
      </c>
      <c r="W98">
        <v>0</v>
      </c>
      <c r="X98">
        <v>-1417349443</v>
      </c>
      <c r="Y98">
        <v>0.68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</v>
      </c>
      <c r="AT98">
        <v>0.68</v>
      </c>
      <c r="AU98" t="s">
        <v>3</v>
      </c>
      <c r="AV98">
        <v>2</v>
      </c>
      <c r="AW98">
        <v>2</v>
      </c>
      <c r="AX98">
        <v>35892238</v>
      </c>
      <c r="AY98">
        <v>1</v>
      </c>
      <c r="AZ98">
        <v>2048</v>
      </c>
      <c r="BA98">
        <v>94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Y98*Source!I95</f>
        <v>0.20400000000000001</v>
      </c>
      <c r="CY98">
        <f>AD98</f>
        <v>0</v>
      </c>
      <c r="CZ98">
        <f>AH98</f>
        <v>0</v>
      </c>
      <c r="DA98">
        <f>AL98</f>
        <v>1</v>
      </c>
      <c r="DB98">
        <v>0</v>
      </c>
    </row>
    <row r="99" spans="1:106" x14ac:dyDescent="0.2">
      <c r="A99">
        <f>ROW(Source!A95)</f>
        <v>95</v>
      </c>
      <c r="B99">
        <v>35891596</v>
      </c>
      <c r="C99">
        <v>35892232</v>
      </c>
      <c r="D99">
        <v>31520646</v>
      </c>
      <c r="E99">
        <v>1</v>
      </c>
      <c r="F99">
        <v>1</v>
      </c>
      <c r="G99">
        <v>1</v>
      </c>
      <c r="H99">
        <v>2</v>
      </c>
      <c r="I99" t="s">
        <v>362</v>
      </c>
      <c r="J99" t="s">
        <v>363</v>
      </c>
      <c r="K99" t="s">
        <v>364</v>
      </c>
      <c r="L99">
        <v>1368</v>
      </c>
      <c r="N99">
        <v>1011</v>
      </c>
      <c r="O99" t="s">
        <v>350</v>
      </c>
      <c r="P99" t="s">
        <v>350</v>
      </c>
      <c r="Q99">
        <v>1</v>
      </c>
      <c r="W99">
        <v>0</v>
      </c>
      <c r="X99">
        <v>1372534845</v>
      </c>
      <c r="Y99">
        <v>9.2399999999999996E-2</v>
      </c>
      <c r="AA99">
        <v>0</v>
      </c>
      <c r="AB99">
        <v>65.709999999999994</v>
      </c>
      <c r="AC99">
        <v>11.6</v>
      </c>
      <c r="AD99">
        <v>0</v>
      </c>
      <c r="AE99">
        <v>0</v>
      </c>
      <c r="AF99">
        <v>65.709999999999994</v>
      </c>
      <c r="AG99">
        <v>11.6</v>
      </c>
      <c r="AH99">
        <v>0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3</v>
      </c>
      <c r="AT99">
        <v>0.11</v>
      </c>
      <c r="AU99" t="s">
        <v>223</v>
      </c>
      <c r="AV99">
        <v>0</v>
      </c>
      <c r="AW99">
        <v>2</v>
      </c>
      <c r="AX99">
        <v>35892239</v>
      </c>
      <c r="AY99">
        <v>1</v>
      </c>
      <c r="AZ99">
        <v>0</v>
      </c>
      <c r="BA99">
        <v>95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Y99*Source!I95</f>
        <v>2.7719999999999998E-2</v>
      </c>
      <c r="CY99">
        <f>AB99</f>
        <v>65.709999999999994</v>
      </c>
      <c r="CZ99">
        <f>AF99</f>
        <v>65.709999999999994</v>
      </c>
      <c r="DA99">
        <f>AJ99</f>
        <v>1</v>
      </c>
      <c r="DB99">
        <v>0</v>
      </c>
    </row>
    <row r="100" spans="1:106" x14ac:dyDescent="0.2">
      <c r="A100">
        <f>ROW(Source!A95)</f>
        <v>95</v>
      </c>
      <c r="B100">
        <v>35891596</v>
      </c>
      <c r="C100">
        <v>35892232</v>
      </c>
      <c r="D100">
        <v>31520777</v>
      </c>
      <c r="E100">
        <v>1</v>
      </c>
      <c r="F100">
        <v>1</v>
      </c>
      <c r="G100">
        <v>1</v>
      </c>
      <c r="H100">
        <v>2</v>
      </c>
      <c r="I100" t="s">
        <v>450</v>
      </c>
      <c r="J100" t="s">
        <v>451</v>
      </c>
      <c r="K100" t="s">
        <v>452</v>
      </c>
      <c r="L100">
        <v>1368</v>
      </c>
      <c r="N100">
        <v>1011</v>
      </c>
      <c r="O100" t="s">
        <v>350</v>
      </c>
      <c r="P100" t="s">
        <v>350</v>
      </c>
      <c r="Q100">
        <v>1</v>
      </c>
      <c r="W100">
        <v>0</v>
      </c>
      <c r="X100">
        <v>-315050823</v>
      </c>
      <c r="Y100">
        <v>0.47879999999999995</v>
      </c>
      <c r="AA100">
        <v>0</v>
      </c>
      <c r="AB100">
        <v>22.29</v>
      </c>
      <c r="AC100">
        <v>11.6</v>
      </c>
      <c r="AD100">
        <v>0</v>
      </c>
      <c r="AE100">
        <v>0</v>
      </c>
      <c r="AF100">
        <v>22.29</v>
      </c>
      <c r="AG100">
        <v>11.6</v>
      </c>
      <c r="AH100">
        <v>0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0.56999999999999995</v>
      </c>
      <c r="AU100" t="s">
        <v>223</v>
      </c>
      <c r="AV100">
        <v>0</v>
      </c>
      <c r="AW100">
        <v>2</v>
      </c>
      <c r="AX100">
        <v>35892240</v>
      </c>
      <c r="AY100">
        <v>1</v>
      </c>
      <c r="AZ100">
        <v>0</v>
      </c>
      <c r="BA100">
        <v>96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Y100*Source!I95</f>
        <v>0.14363999999999999</v>
      </c>
      <c r="CY100">
        <f>AB100</f>
        <v>22.29</v>
      </c>
      <c r="CZ100">
        <f>AF100</f>
        <v>22.29</v>
      </c>
      <c r="DA100">
        <f>AJ100</f>
        <v>1</v>
      </c>
      <c r="DB100">
        <v>0</v>
      </c>
    </row>
    <row r="101" spans="1:106" x14ac:dyDescent="0.2">
      <c r="A101">
        <f>ROW(Source!A96)</f>
        <v>96</v>
      </c>
      <c r="B101">
        <v>35891596</v>
      </c>
      <c r="C101">
        <v>35892243</v>
      </c>
      <c r="D101">
        <v>31704098</v>
      </c>
      <c r="E101">
        <v>1</v>
      </c>
      <c r="F101">
        <v>1</v>
      </c>
      <c r="G101">
        <v>1</v>
      </c>
      <c r="H101">
        <v>1</v>
      </c>
      <c r="I101" t="s">
        <v>439</v>
      </c>
      <c r="J101" t="s">
        <v>3</v>
      </c>
      <c r="K101" t="s">
        <v>440</v>
      </c>
      <c r="L101">
        <v>1191</v>
      </c>
      <c r="N101">
        <v>1013</v>
      </c>
      <c r="O101" t="s">
        <v>344</v>
      </c>
      <c r="P101" t="s">
        <v>344</v>
      </c>
      <c r="Q101">
        <v>1</v>
      </c>
      <c r="W101">
        <v>0</v>
      </c>
      <c r="X101">
        <v>-400197608</v>
      </c>
      <c r="Y101">
        <v>2.7803999999999998</v>
      </c>
      <c r="AA101">
        <v>0</v>
      </c>
      <c r="AB101">
        <v>0</v>
      </c>
      <c r="AC101">
        <v>0</v>
      </c>
      <c r="AD101">
        <v>8.5299999999999994</v>
      </c>
      <c r="AE101">
        <v>0</v>
      </c>
      <c r="AF101">
        <v>0</v>
      </c>
      <c r="AG101">
        <v>0</v>
      </c>
      <c r="AH101">
        <v>8.5299999999999994</v>
      </c>
      <c r="AI101">
        <v>1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3.31</v>
      </c>
      <c r="AU101" t="s">
        <v>223</v>
      </c>
      <c r="AV101">
        <v>1</v>
      </c>
      <c r="AW101">
        <v>2</v>
      </c>
      <c r="AX101">
        <v>35892248</v>
      </c>
      <c r="AY101">
        <v>1</v>
      </c>
      <c r="AZ101">
        <v>0</v>
      </c>
      <c r="BA101">
        <v>99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Y101*Source!I96</f>
        <v>0.27804000000000001</v>
      </c>
      <c r="CY101">
        <f>AD101</f>
        <v>8.5299999999999994</v>
      </c>
      <c r="CZ101">
        <f>AH101</f>
        <v>8.5299999999999994</v>
      </c>
      <c r="DA101">
        <f>AL101</f>
        <v>1</v>
      </c>
      <c r="DB101">
        <v>0</v>
      </c>
    </row>
    <row r="102" spans="1:106" x14ac:dyDescent="0.2">
      <c r="A102">
        <f>ROW(Source!A96)</f>
        <v>96</v>
      </c>
      <c r="B102">
        <v>35891596</v>
      </c>
      <c r="C102">
        <v>35892243</v>
      </c>
      <c r="D102">
        <v>31703727</v>
      </c>
      <c r="E102">
        <v>1</v>
      </c>
      <c r="F102">
        <v>1</v>
      </c>
      <c r="G102">
        <v>1</v>
      </c>
      <c r="H102">
        <v>1</v>
      </c>
      <c r="I102" t="s">
        <v>345</v>
      </c>
      <c r="J102" t="s">
        <v>3</v>
      </c>
      <c r="K102" t="s">
        <v>346</v>
      </c>
      <c r="L102">
        <v>1191</v>
      </c>
      <c r="N102">
        <v>1013</v>
      </c>
      <c r="O102" t="s">
        <v>344</v>
      </c>
      <c r="P102" t="s">
        <v>344</v>
      </c>
      <c r="Q102">
        <v>1</v>
      </c>
      <c r="W102">
        <v>0</v>
      </c>
      <c r="X102">
        <v>-1417349443</v>
      </c>
      <c r="Y102">
        <v>0.4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0</v>
      </c>
      <c r="AQ102">
        <v>0</v>
      </c>
      <c r="AR102">
        <v>0</v>
      </c>
      <c r="AS102" t="s">
        <v>3</v>
      </c>
      <c r="AT102">
        <v>0.4</v>
      </c>
      <c r="AU102" t="s">
        <v>3</v>
      </c>
      <c r="AV102">
        <v>2</v>
      </c>
      <c r="AW102">
        <v>2</v>
      </c>
      <c r="AX102">
        <v>35892249</v>
      </c>
      <c r="AY102">
        <v>1</v>
      </c>
      <c r="AZ102">
        <v>2048</v>
      </c>
      <c r="BA102">
        <v>100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Y102*Source!I96</f>
        <v>4.0000000000000008E-2</v>
      </c>
      <c r="CY102">
        <f>AD102</f>
        <v>0</v>
      </c>
      <c r="CZ102">
        <f>AH102</f>
        <v>0</v>
      </c>
      <c r="DA102">
        <f>AL102</f>
        <v>1</v>
      </c>
      <c r="DB102">
        <v>0</v>
      </c>
    </row>
    <row r="103" spans="1:106" x14ac:dyDescent="0.2">
      <c r="A103">
        <f>ROW(Source!A96)</f>
        <v>96</v>
      </c>
      <c r="B103">
        <v>35891596</v>
      </c>
      <c r="C103">
        <v>35892243</v>
      </c>
      <c r="D103">
        <v>31520646</v>
      </c>
      <c r="E103">
        <v>1</v>
      </c>
      <c r="F103">
        <v>1</v>
      </c>
      <c r="G103">
        <v>1</v>
      </c>
      <c r="H103">
        <v>2</v>
      </c>
      <c r="I103" t="s">
        <v>362</v>
      </c>
      <c r="J103" t="s">
        <v>363</v>
      </c>
      <c r="K103" t="s">
        <v>364</v>
      </c>
      <c r="L103">
        <v>1368</v>
      </c>
      <c r="N103">
        <v>1011</v>
      </c>
      <c r="O103" t="s">
        <v>350</v>
      </c>
      <c r="P103" t="s">
        <v>350</v>
      </c>
      <c r="Q103">
        <v>1</v>
      </c>
      <c r="W103">
        <v>0</v>
      </c>
      <c r="X103">
        <v>1372534845</v>
      </c>
      <c r="Y103">
        <v>0.10079999999999999</v>
      </c>
      <c r="AA103">
        <v>0</v>
      </c>
      <c r="AB103">
        <v>65.709999999999994</v>
      </c>
      <c r="AC103">
        <v>11.6</v>
      </c>
      <c r="AD103">
        <v>0</v>
      </c>
      <c r="AE103">
        <v>0</v>
      </c>
      <c r="AF103">
        <v>65.709999999999994</v>
      </c>
      <c r="AG103">
        <v>11.6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0.12</v>
      </c>
      <c r="AU103" t="s">
        <v>223</v>
      </c>
      <c r="AV103">
        <v>0</v>
      </c>
      <c r="AW103">
        <v>2</v>
      </c>
      <c r="AX103">
        <v>35892250</v>
      </c>
      <c r="AY103">
        <v>1</v>
      </c>
      <c r="AZ103">
        <v>0</v>
      </c>
      <c r="BA103">
        <v>101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Y103*Source!I96</f>
        <v>1.0079999999999999E-2</v>
      </c>
      <c r="CY103">
        <f>AB103</f>
        <v>65.709999999999994</v>
      </c>
      <c r="CZ103">
        <f>AF103</f>
        <v>65.709999999999994</v>
      </c>
      <c r="DA103">
        <f>AJ103</f>
        <v>1</v>
      </c>
      <c r="DB103">
        <v>0</v>
      </c>
    </row>
    <row r="104" spans="1:106" x14ac:dyDescent="0.2">
      <c r="A104">
        <f>ROW(Source!A96)</f>
        <v>96</v>
      </c>
      <c r="B104">
        <v>35891596</v>
      </c>
      <c r="C104">
        <v>35892243</v>
      </c>
      <c r="D104">
        <v>31520777</v>
      </c>
      <c r="E104">
        <v>1</v>
      </c>
      <c r="F104">
        <v>1</v>
      </c>
      <c r="G104">
        <v>1</v>
      </c>
      <c r="H104">
        <v>2</v>
      </c>
      <c r="I104" t="s">
        <v>450</v>
      </c>
      <c r="J104" t="s">
        <v>451</v>
      </c>
      <c r="K104" t="s">
        <v>452</v>
      </c>
      <c r="L104">
        <v>1368</v>
      </c>
      <c r="N104">
        <v>1011</v>
      </c>
      <c r="O104" t="s">
        <v>350</v>
      </c>
      <c r="P104" t="s">
        <v>350</v>
      </c>
      <c r="Q104">
        <v>1</v>
      </c>
      <c r="W104">
        <v>0</v>
      </c>
      <c r="X104">
        <v>-315050823</v>
      </c>
      <c r="Y104">
        <v>0.23519999999999999</v>
      </c>
      <c r="AA104">
        <v>0</v>
      </c>
      <c r="AB104">
        <v>22.29</v>
      </c>
      <c r="AC104">
        <v>11.6</v>
      </c>
      <c r="AD104">
        <v>0</v>
      </c>
      <c r="AE104">
        <v>0</v>
      </c>
      <c r="AF104">
        <v>22.29</v>
      </c>
      <c r="AG104">
        <v>11.6</v>
      </c>
      <c r="AH104">
        <v>0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0.28000000000000003</v>
      </c>
      <c r="AU104" t="s">
        <v>223</v>
      </c>
      <c r="AV104">
        <v>0</v>
      </c>
      <c r="AW104">
        <v>2</v>
      </c>
      <c r="AX104">
        <v>35892251</v>
      </c>
      <c r="AY104">
        <v>1</v>
      </c>
      <c r="AZ104">
        <v>0</v>
      </c>
      <c r="BA104">
        <v>102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Y104*Source!I96</f>
        <v>2.3519999999999999E-2</v>
      </c>
      <c r="CY104">
        <f>AB104</f>
        <v>22.29</v>
      </c>
      <c r="CZ104">
        <f>AF104</f>
        <v>22.29</v>
      </c>
      <c r="DA104">
        <f>AJ104</f>
        <v>1</v>
      </c>
      <c r="DB104">
        <v>0</v>
      </c>
    </row>
    <row r="105" spans="1:106" x14ac:dyDescent="0.2">
      <c r="A105">
        <f>ROW(Source!A166)</f>
        <v>166</v>
      </c>
      <c r="B105">
        <v>35891596</v>
      </c>
      <c r="C105">
        <v>35892263</v>
      </c>
      <c r="D105">
        <v>32162297</v>
      </c>
      <c r="E105">
        <v>1</v>
      </c>
      <c r="F105">
        <v>1</v>
      </c>
      <c r="G105">
        <v>1</v>
      </c>
      <c r="H105">
        <v>1</v>
      </c>
      <c r="I105" t="s">
        <v>453</v>
      </c>
      <c r="J105" t="s">
        <v>3</v>
      </c>
      <c r="K105" t="s">
        <v>454</v>
      </c>
      <c r="L105">
        <v>1191</v>
      </c>
      <c r="N105">
        <v>1013</v>
      </c>
      <c r="O105" t="s">
        <v>344</v>
      </c>
      <c r="P105" t="s">
        <v>344</v>
      </c>
      <c r="Q105">
        <v>1</v>
      </c>
      <c r="W105">
        <v>0</v>
      </c>
      <c r="X105">
        <v>-1166887252</v>
      </c>
      <c r="Y105">
        <v>0.49199999999999994</v>
      </c>
      <c r="AA105">
        <v>0</v>
      </c>
      <c r="AB105">
        <v>0</v>
      </c>
      <c r="AC105">
        <v>0</v>
      </c>
      <c r="AD105">
        <v>12.92</v>
      </c>
      <c r="AE105">
        <v>0</v>
      </c>
      <c r="AF105">
        <v>0</v>
      </c>
      <c r="AG105">
        <v>0</v>
      </c>
      <c r="AH105">
        <v>12.92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0.41</v>
      </c>
      <c r="AU105" t="s">
        <v>40</v>
      </c>
      <c r="AV105">
        <v>1</v>
      </c>
      <c r="AW105">
        <v>2</v>
      </c>
      <c r="AX105">
        <v>35892266</v>
      </c>
      <c r="AY105">
        <v>1</v>
      </c>
      <c r="AZ105">
        <v>0</v>
      </c>
      <c r="BA105">
        <v>105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Y105*Source!I166</f>
        <v>1.9679999999999997</v>
      </c>
      <c r="CY105">
        <f>AD105</f>
        <v>12.92</v>
      </c>
      <c r="CZ105">
        <f>AH105</f>
        <v>12.92</v>
      </c>
      <c r="DA105">
        <f>AL105</f>
        <v>1</v>
      </c>
      <c r="DB105">
        <v>0</v>
      </c>
    </row>
    <row r="106" spans="1:106" x14ac:dyDescent="0.2">
      <c r="A106">
        <f>ROW(Source!A166)</f>
        <v>166</v>
      </c>
      <c r="B106">
        <v>35891596</v>
      </c>
      <c r="C106">
        <v>35892263</v>
      </c>
      <c r="D106">
        <v>32161334</v>
      </c>
      <c r="E106">
        <v>1</v>
      </c>
      <c r="F106">
        <v>1</v>
      </c>
      <c r="G106">
        <v>1</v>
      </c>
      <c r="H106">
        <v>1</v>
      </c>
      <c r="I106" t="s">
        <v>455</v>
      </c>
      <c r="J106" t="s">
        <v>3</v>
      </c>
      <c r="K106" t="s">
        <v>456</v>
      </c>
      <c r="L106">
        <v>1191</v>
      </c>
      <c r="N106">
        <v>1013</v>
      </c>
      <c r="O106" t="s">
        <v>344</v>
      </c>
      <c r="P106" t="s">
        <v>344</v>
      </c>
      <c r="Q106">
        <v>1</v>
      </c>
      <c r="W106">
        <v>0</v>
      </c>
      <c r="X106">
        <v>1776637054</v>
      </c>
      <c r="Y106">
        <v>0.49199999999999994</v>
      </c>
      <c r="AA106">
        <v>0</v>
      </c>
      <c r="AB106">
        <v>0</v>
      </c>
      <c r="AC106">
        <v>0</v>
      </c>
      <c r="AD106">
        <v>12.69</v>
      </c>
      <c r="AE106">
        <v>0</v>
      </c>
      <c r="AF106">
        <v>0</v>
      </c>
      <c r="AG106">
        <v>0</v>
      </c>
      <c r="AH106">
        <v>12.69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0.41</v>
      </c>
      <c r="AU106" t="s">
        <v>40</v>
      </c>
      <c r="AV106">
        <v>1</v>
      </c>
      <c r="AW106">
        <v>2</v>
      </c>
      <c r="AX106">
        <v>35892267</v>
      </c>
      <c r="AY106">
        <v>1</v>
      </c>
      <c r="AZ106">
        <v>0</v>
      </c>
      <c r="BA106">
        <v>106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Y106*Source!I166</f>
        <v>1.9679999999999997</v>
      </c>
      <c r="CY106">
        <f>AD106</f>
        <v>12.69</v>
      </c>
      <c r="CZ106">
        <f>AH106</f>
        <v>12.69</v>
      </c>
      <c r="DA106">
        <f>AL106</f>
        <v>1</v>
      </c>
      <c r="DB106">
        <v>0</v>
      </c>
    </row>
    <row r="107" spans="1:106" x14ac:dyDescent="0.2">
      <c r="A107">
        <f>ROW(Source!A167)</f>
        <v>167</v>
      </c>
      <c r="B107">
        <v>35891596</v>
      </c>
      <c r="C107">
        <v>35892268</v>
      </c>
      <c r="D107">
        <v>32162297</v>
      </c>
      <c r="E107">
        <v>1</v>
      </c>
      <c r="F107">
        <v>1</v>
      </c>
      <c r="G107">
        <v>1</v>
      </c>
      <c r="H107">
        <v>1</v>
      </c>
      <c r="I107" t="s">
        <v>453</v>
      </c>
      <c r="J107" t="s">
        <v>3</v>
      </c>
      <c r="K107" t="s">
        <v>454</v>
      </c>
      <c r="L107">
        <v>1191</v>
      </c>
      <c r="N107">
        <v>1013</v>
      </c>
      <c r="O107" t="s">
        <v>344</v>
      </c>
      <c r="P107" t="s">
        <v>344</v>
      </c>
      <c r="Q107">
        <v>1</v>
      </c>
      <c r="W107">
        <v>0</v>
      </c>
      <c r="X107">
        <v>-1166887252</v>
      </c>
      <c r="Y107">
        <v>0.24960000000000002</v>
      </c>
      <c r="AA107">
        <v>0</v>
      </c>
      <c r="AB107">
        <v>0</v>
      </c>
      <c r="AC107">
        <v>0</v>
      </c>
      <c r="AD107">
        <v>12.92</v>
      </c>
      <c r="AE107">
        <v>0</v>
      </c>
      <c r="AF107">
        <v>0</v>
      </c>
      <c r="AG107">
        <v>0</v>
      </c>
      <c r="AH107">
        <v>12.92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0.16</v>
      </c>
      <c r="AU107" t="s">
        <v>275</v>
      </c>
      <c r="AV107">
        <v>1</v>
      </c>
      <c r="AW107">
        <v>2</v>
      </c>
      <c r="AX107">
        <v>35892271</v>
      </c>
      <c r="AY107">
        <v>1</v>
      </c>
      <c r="AZ107">
        <v>0</v>
      </c>
      <c r="BA107">
        <v>107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Y107*Source!I167</f>
        <v>0.24960000000000002</v>
      </c>
      <c r="CY107">
        <f>AD107</f>
        <v>12.92</v>
      </c>
      <c r="CZ107">
        <f>AH107</f>
        <v>12.92</v>
      </c>
      <c r="DA107">
        <f>AL107</f>
        <v>1</v>
      </c>
      <c r="DB107">
        <v>0</v>
      </c>
    </row>
    <row r="108" spans="1:106" x14ac:dyDescent="0.2">
      <c r="A108">
        <f>ROW(Source!A167)</f>
        <v>167</v>
      </c>
      <c r="B108">
        <v>35891596</v>
      </c>
      <c r="C108">
        <v>35892268</v>
      </c>
      <c r="D108">
        <v>32161334</v>
      </c>
      <c r="E108">
        <v>1</v>
      </c>
      <c r="F108">
        <v>1</v>
      </c>
      <c r="G108">
        <v>1</v>
      </c>
      <c r="H108">
        <v>1</v>
      </c>
      <c r="I108" t="s">
        <v>455</v>
      </c>
      <c r="J108" t="s">
        <v>3</v>
      </c>
      <c r="K108" t="s">
        <v>456</v>
      </c>
      <c r="L108">
        <v>1191</v>
      </c>
      <c r="N108">
        <v>1013</v>
      </c>
      <c r="O108" t="s">
        <v>344</v>
      </c>
      <c r="P108" t="s">
        <v>344</v>
      </c>
      <c r="Q108">
        <v>1</v>
      </c>
      <c r="W108">
        <v>0</v>
      </c>
      <c r="X108">
        <v>1776637054</v>
      </c>
      <c r="Y108">
        <v>0.24960000000000002</v>
      </c>
      <c r="AA108">
        <v>0</v>
      </c>
      <c r="AB108">
        <v>0</v>
      </c>
      <c r="AC108">
        <v>0</v>
      </c>
      <c r="AD108">
        <v>12.69</v>
      </c>
      <c r="AE108">
        <v>0</v>
      </c>
      <c r="AF108">
        <v>0</v>
      </c>
      <c r="AG108">
        <v>0</v>
      </c>
      <c r="AH108">
        <v>12.69</v>
      </c>
      <c r="AI108">
        <v>1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0.16</v>
      </c>
      <c r="AU108" t="s">
        <v>275</v>
      </c>
      <c r="AV108">
        <v>1</v>
      </c>
      <c r="AW108">
        <v>2</v>
      </c>
      <c r="AX108">
        <v>35892272</v>
      </c>
      <c r="AY108">
        <v>1</v>
      </c>
      <c r="AZ108">
        <v>0</v>
      </c>
      <c r="BA108">
        <v>108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Y108*Source!I167</f>
        <v>0.24960000000000002</v>
      </c>
      <c r="CY108">
        <f>AD108</f>
        <v>12.69</v>
      </c>
      <c r="CZ108">
        <f>AH108</f>
        <v>12.69</v>
      </c>
      <c r="DA108">
        <f>AL108</f>
        <v>1</v>
      </c>
      <c r="DB10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ROW(Source!A30)</f>
        <v>30</v>
      </c>
      <c r="B1">
        <v>35891831</v>
      </c>
      <c r="C1">
        <v>35891824</v>
      </c>
      <c r="D1">
        <v>31708818</v>
      </c>
      <c r="E1">
        <v>1</v>
      </c>
      <c r="F1">
        <v>1</v>
      </c>
      <c r="G1">
        <v>1</v>
      </c>
      <c r="H1">
        <v>1</v>
      </c>
      <c r="I1" t="s">
        <v>342</v>
      </c>
      <c r="J1" t="s">
        <v>3</v>
      </c>
      <c r="K1" t="s">
        <v>343</v>
      </c>
      <c r="L1">
        <v>1191</v>
      </c>
      <c r="N1">
        <v>1013</v>
      </c>
      <c r="O1" t="s">
        <v>344</v>
      </c>
      <c r="P1" t="s">
        <v>344</v>
      </c>
      <c r="Q1">
        <v>1</v>
      </c>
      <c r="X1">
        <v>139.52000000000001</v>
      </c>
      <c r="Y1">
        <v>0</v>
      </c>
      <c r="Z1">
        <v>0</v>
      </c>
      <c r="AA1">
        <v>0</v>
      </c>
      <c r="AB1">
        <v>8.3800000000000008</v>
      </c>
      <c r="AC1">
        <v>0</v>
      </c>
      <c r="AD1">
        <v>1</v>
      </c>
      <c r="AE1">
        <v>1</v>
      </c>
      <c r="AF1" t="s">
        <v>40</v>
      </c>
      <c r="AG1">
        <v>167.42400000000001</v>
      </c>
      <c r="AH1">
        <v>2</v>
      </c>
      <c r="AI1">
        <v>35891825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ROW(Source!A30)</f>
        <v>30</v>
      </c>
      <c r="B2">
        <v>35891832</v>
      </c>
      <c r="C2">
        <v>35891824</v>
      </c>
      <c r="D2">
        <v>31703727</v>
      </c>
      <c r="E2">
        <v>1</v>
      </c>
      <c r="F2">
        <v>1</v>
      </c>
      <c r="G2">
        <v>1</v>
      </c>
      <c r="H2">
        <v>1</v>
      </c>
      <c r="I2" t="s">
        <v>345</v>
      </c>
      <c r="J2" t="s">
        <v>3</v>
      </c>
      <c r="K2" t="s">
        <v>346</v>
      </c>
      <c r="L2">
        <v>1191</v>
      </c>
      <c r="N2">
        <v>1013</v>
      </c>
      <c r="O2" t="s">
        <v>344</v>
      </c>
      <c r="P2" t="s">
        <v>344</v>
      </c>
      <c r="Q2">
        <v>1</v>
      </c>
      <c r="X2">
        <v>34.39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40</v>
      </c>
      <c r="AG2">
        <v>41.268000000000001</v>
      </c>
      <c r="AH2">
        <v>2</v>
      </c>
      <c r="AI2">
        <v>35891826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ROW(Source!A30)</f>
        <v>30</v>
      </c>
      <c r="B3">
        <v>35891833</v>
      </c>
      <c r="C3">
        <v>35891824</v>
      </c>
      <c r="D3">
        <v>31518461</v>
      </c>
      <c r="E3">
        <v>1</v>
      </c>
      <c r="F3">
        <v>1</v>
      </c>
      <c r="G3">
        <v>1</v>
      </c>
      <c r="H3">
        <v>2</v>
      </c>
      <c r="I3" t="s">
        <v>347</v>
      </c>
      <c r="J3" t="s">
        <v>348</v>
      </c>
      <c r="K3" t="s">
        <v>349</v>
      </c>
      <c r="L3">
        <v>1368</v>
      </c>
      <c r="N3">
        <v>1011</v>
      </c>
      <c r="O3" t="s">
        <v>350</v>
      </c>
      <c r="P3" t="s">
        <v>350</v>
      </c>
      <c r="Q3">
        <v>1</v>
      </c>
      <c r="X3">
        <v>0.66</v>
      </c>
      <c r="Y3">
        <v>0</v>
      </c>
      <c r="Z3">
        <v>123</v>
      </c>
      <c r="AA3">
        <v>13.5</v>
      </c>
      <c r="AB3">
        <v>0</v>
      </c>
      <c r="AC3">
        <v>0</v>
      </c>
      <c r="AD3">
        <v>1</v>
      </c>
      <c r="AE3">
        <v>0</v>
      </c>
      <c r="AF3" t="s">
        <v>40</v>
      </c>
      <c r="AG3">
        <v>0.79200000000000004</v>
      </c>
      <c r="AH3">
        <v>2</v>
      </c>
      <c r="AI3">
        <v>35891827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ROW(Source!A30)</f>
        <v>30</v>
      </c>
      <c r="B4">
        <v>35891834</v>
      </c>
      <c r="C4">
        <v>35891824</v>
      </c>
      <c r="D4">
        <v>31519244</v>
      </c>
      <c r="E4">
        <v>1</v>
      </c>
      <c r="F4">
        <v>1</v>
      </c>
      <c r="G4">
        <v>1</v>
      </c>
      <c r="H4">
        <v>2</v>
      </c>
      <c r="I4" t="s">
        <v>351</v>
      </c>
      <c r="J4" t="s">
        <v>352</v>
      </c>
      <c r="K4" t="s">
        <v>353</v>
      </c>
      <c r="L4">
        <v>1368</v>
      </c>
      <c r="N4">
        <v>1011</v>
      </c>
      <c r="O4" t="s">
        <v>350</v>
      </c>
      <c r="P4" t="s">
        <v>350</v>
      </c>
      <c r="Q4">
        <v>1</v>
      </c>
      <c r="X4">
        <v>33.65</v>
      </c>
      <c r="Y4">
        <v>0</v>
      </c>
      <c r="Z4">
        <v>111.99</v>
      </c>
      <c r="AA4">
        <v>13.5</v>
      </c>
      <c r="AB4">
        <v>0</v>
      </c>
      <c r="AC4">
        <v>0</v>
      </c>
      <c r="AD4">
        <v>1</v>
      </c>
      <c r="AE4">
        <v>0</v>
      </c>
      <c r="AF4" t="s">
        <v>40</v>
      </c>
      <c r="AG4">
        <v>40.379999999999995</v>
      </c>
      <c r="AH4">
        <v>2</v>
      </c>
      <c r="AI4">
        <v>35891828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ROW(Source!A30)</f>
        <v>30</v>
      </c>
      <c r="B5">
        <v>35891835</v>
      </c>
      <c r="C5">
        <v>35891824</v>
      </c>
      <c r="D5">
        <v>31519467</v>
      </c>
      <c r="E5">
        <v>1</v>
      </c>
      <c r="F5">
        <v>1</v>
      </c>
      <c r="G5">
        <v>1</v>
      </c>
      <c r="H5">
        <v>2</v>
      </c>
      <c r="I5" t="s">
        <v>354</v>
      </c>
      <c r="J5" t="s">
        <v>355</v>
      </c>
      <c r="K5" t="s">
        <v>356</v>
      </c>
      <c r="L5">
        <v>1368</v>
      </c>
      <c r="N5">
        <v>1011</v>
      </c>
      <c r="O5" t="s">
        <v>350</v>
      </c>
      <c r="P5" t="s">
        <v>350</v>
      </c>
      <c r="Q5">
        <v>1</v>
      </c>
      <c r="X5">
        <v>0.08</v>
      </c>
      <c r="Y5">
        <v>0</v>
      </c>
      <c r="Z5">
        <v>89.99</v>
      </c>
      <c r="AA5">
        <v>10.06</v>
      </c>
      <c r="AB5">
        <v>0</v>
      </c>
      <c r="AC5">
        <v>0</v>
      </c>
      <c r="AD5">
        <v>1</v>
      </c>
      <c r="AE5">
        <v>0</v>
      </c>
      <c r="AF5" t="s">
        <v>40</v>
      </c>
      <c r="AG5">
        <v>9.6000000000000002E-2</v>
      </c>
      <c r="AH5">
        <v>2</v>
      </c>
      <c r="AI5">
        <v>35891829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35891836</v>
      </c>
      <c r="C6">
        <v>35891824</v>
      </c>
      <c r="D6">
        <v>31443147</v>
      </c>
      <c r="E6">
        <v>1</v>
      </c>
      <c r="F6">
        <v>1</v>
      </c>
      <c r="G6">
        <v>1</v>
      </c>
      <c r="H6">
        <v>3</v>
      </c>
      <c r="I6" t="s">
        <v>79</v>
      </c>
      <c r="J6" t="s">
        <v>81</v>
      </c>
      <c r="K6" t="s">
        <v>80</v>
      </c>
      <c r="L6">
        <v>1339</v>
      </c>
      <c r="N6">
        <v>1007</v>
      </c>
      <c r="O6" t="s">
        <v>50</v>
      </c>
      <c r="P6" t="s">
        <v>50</v>
      </c>
      <c r="Q6">
        <v>1</v>
      </c>
      <c r="X6">
        <v>1.18</v>
      </c>
      <c r="Y6">
        <v>55.26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1.18</v>
      </c>
      <c r="AH6">
        <v>2</v>
      </c>
      <c r="AI6">
        <v>35891830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35891837</v>
      </c>
      <c r="C7">
        <v>35891824</v>
      </c>
      <c r="D7">
        <v>31433206</v>
      </c>
      <c r="E7">
        <v>17</v>
      </c>
      <c r="F7">
        <v>1</v>
      </c>
      <c r="G7">
        <v>1</v>
      </c>
      <c r="H7">
        <v>3</v>
      </c>
      <c r="I7" t="s">
        <v>457</v>
      </c>
      <c r="J7" t="s">
        <v>3</v>
      </c>
      <c r="K7" t="s">
        <v>458</v>
      </c>
      <c r="L7">
        <v>1339</v>
      </c>
      <c r="N7">
        <v>1007</v>
      </c>
      <c r="O7" t="s">
        <v>50</v>
      </c>
      <c r="P7" t="s">
        <v>50</v>
      </c>
      <c r="Q7">
        <v>1</v>
      </c>
      <c r="X7">
        <v>0</v>
      </c>
      <c r="Y7">
        <v>0</v>
      </c>
      <c r="Z7">
        <v>0</v>
      </c>
      <c r="AA7">
        <v>0</v>
      </c>
      <c r="AB7">
        <v>0</v>
      </c>
      <c r="AC7">
        <v>1</v>
      </c>
      <c r="AD7">
        <v>0</v>
      </c>
      <c r="AE7">
        <v>0</v>
      </c>
      <c r="AF7" t="s">
        <v>3</v>
      </c>
      <c r="AG7">
        <v>0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ROW(Source!A32)</f>
        <v>32</v>
      </c>
      <c r="B8">
        <v>35891846</v>
      </c>
      <c r="C8">
        <v>35891839</v>
      </c>
      <c r="D8">
        <v>31705604</v>
      </c>
      <c r="E8">
        <v>1</v>
      </c>
      <c r="F8">
        <v>1</v>
      </c>
      <c r="G8">
        <v>1</v>
      </c>
      <c r="H8">
        <v>1</v>
      </c>
      <c r="I8" t="s">
        <v>357</v>
      </c>
      <c r="J8" t="s">
        <v>3</v>
      </c>
      <c r="K8" t="s">
        <v>358</v>
      </c>
      <c r="L8">
        <v>1191</v>
      </c>
      <c r="N8">
        <v>1013</v>
      </c>
      <c r="O8" t="s">
        <v>344</v>
      </c>
      <c r="P8" t="s">
        <v>344</v>
      </c>
      <c r="Q8">
        <v>1</v>
      </c>
      <c r="X8">
        <v>38.26</v>
      </c>
      <c r="Y8">
        <v>0</v>
      </c>
      <c r="Z8">
        <v>0</v>
      </c>
      <c r="AA8">
        <v>0</v>
      </c>
      <c r="AB8">
        <v>8.24</v>
      </c>
      <c r="AC8">
        <v>0</v>
      </c>
      <c r="AD8">
        <v>1</v>
      </c>
      <c r="AE8">
        <v>1</v>
      </c>
      <c r="AF8" t="s">
        <v>40</v>
      </c>
      <c r="AG8">
        <v>45.911999999999999</v>
      </c>
      <c r="AH8">
        <v>2</v>
      </c>
      <c r="AI8">
        <v>35891840</v>
      </c>
      <c r="AJ8">
        <v>7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ROW(Source!A32)</f>
        <v>32</v>
      </c>
      <c r="B9">
        <v>35891847</v>
      </c>
      <c r="C9">
        <v>35891839</v>
      </c>
      <c r="D9">
        <v>31703727</v>
      </c>
      <c r="E9">
        <v>1</v>
      </c>
      <c r="F9">
        <v>1</v>
      </c>
      <c r="G9">
        <v>1</v>
      </c>
      <c r="H9">
        <v>1</v>
      </c>
      <c r="I9" t="s">
        <v>345</v>
      </c>
      <c r="J9" t="s">
        <v>3</v>
      </c>
      <c r="K9" t="s">
        <v>346</v>
      </c>
      <c r="L9">
        <v>1191</v>
      </c>
      <c r="N9">
        <v>1013</v>
      </c>
      <c r="O9" t="s">
        <v>344</v>
      </c>
      <c r="P9" t="s">
        <v>344</v>
      </c>
      <c r="Q9">
        <v>1</v>
      </c>
      <c r="X9">
        <v>29.58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2</v>
      </c>
      <c r="AF9" t="s">
        <v>40</v>
      </c>
      <c r="AG9">
        <v>35.495999999999995</v>
      </c>
      <c r="AH9">
        <v>2</v>
      </c>
      <c r="AI9">
        <v>35891841</v>
      </c>
      <c r="AJ9">
        <v>8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ROW(Source!A32)</f>
        <v>32</v>
      </c>
      <c r="B10">
        <v>35891848</v>
      </c>
      <c r="C10">
        <v>35891839</v>
      </c>
      <c r="D10">
        <v>31518461</v>
      </c>
      <c r="E10">
        <v>1</v>
      </c>
      <c r="F10">
        <v>1</v>
      </c>
      <c r="G10">
        <v>1</v>
      </c>
      <c r="H10">
        <v>2</v>
      </c>
      <c r="I10" t="s">
        <v>347</v>
      </c>
      <c r="J10" t="s">
        <v>348</v>
      </c>
      <c r="K10" t="s">
        <v>349</v>
      </c>
      <c r="L10">
        <v>1368</v>
      </c>
      <c r="N10">
        <v>1011</v>
      </c>
      <c r="O10" t="s">
        <v>350</v>
      </c>
      <c r="P10" t="s">
        <v>350</v>
      </c>
      <c r="Q10">
        <v>1</v>
      </c>
      <c r="X10">
        <v>0.31</v>
      </c>
      <c r="Y10">
        <v>0</v>
      </c>
      <c r="Z10">
        <v>123</v>
      </c>
      <c r="AA10">
        <v>13.5</v>
      </c>
      <c r="AB10">
        <v>0</v>
      </c>
      <c r="AC10">
        <v>0</v>
      </c>
      <c r="AD10">
        <v>1</v>
      </c>
      <c r="AE10">
        <v>0</v>
      </c>
      <c r="AF10" t="s">
        <v>40</v>
      </c>
      <c r="AG10">
        <v>0.372</v>
      </c>
      <c r="AH10">
        <v>2</v>
      </c>
      <c r="AI10">
        <v>35891842</v>
      </c>
      <c r="AJ10">
        <v>9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ROW(Source!A32)</f>
        <v>32</v>
      </c>
      <c r="B11">
        <v>35891849</v>
      </c>
      <c r="C11">
        <v>35891839</v>
      </c>
      <c r="D11">
        <v>31519244</v>
      </c>
      <c r="E11">
        <v>1</v>
      </c>
      <c r="F11">
        <v>1</v>
      </c>
      <c r="G11">
        <v>1</v>
      </c>
      <c r="H11">
        <v>2</v>
      </c>
      <c r="I11" t="s">
        <v>351</v>
      </c>
      <c r="J11" t="s">
        <v>352</v>
      </c>
      <c r="K11" t="s">
        <v>353</v>
      </c>
      <c r="L11">
        <v>1368</v>
      </c>
      <c r="N11">
        <v>1011</v>
      </c>
      <c r="O11" t="s">
        <v>350</v>
      </c>
      <c r="P11" t="s">
        <v>350</v>
      </c>
      <c r="Q11">
        <v>1</v>
      </c>
      <c r="X11">
        <v>15.14</v>
      </c>
      <c r="Y11">
        <v>0</v>
      </c>
      <c r="Z11">
        <v>111.99</v>
      </c>
      <c r="AA11">
        <v>13.5</v>
      </c>
      <c r="AB11">
        <v>0</v>
      </c>
      <c r="AC11">
        <v>0</v>
      </c>
      <c r="AD11">
        <v>1</v>
      </c>
      <c r="AE11">
        <v>0</v>
      </c>
      <c r="AF11" t="s">
        <v>40</v>
      </c>
      <c r="AG11">
        <v>18.167999999999999</v>
      </c>
      <c r="AH11">
        <v>2</v>
      </c>
      <c r="AI11">
        <v>35891843</v>
      </c>
      <c r="AJ11">
        <v>10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ROW(Source!A32)</f>
        <v>32</v>
      </c>
      <c r="B12">
        <v>35891850</v>
      </c>
      <c r="C12">
        <v>35891839</v>
      </c>
      <c r="D12">
        <v>31520575</v>
      </c>
      <c r="E12">
        <v>1</v>
      </c>
      <c r="F12">
        <v>1</v>
      </c>
      <c r="G12">
        <v>1</v>
      </c>
      <c r="H12">
        <v>2</v>
      </c>
      <c r="I12" t="s">
        <v>359</v>
      </c>
      <c r="J12" t="s">
        <v>360</v>
      </c>
      <c r="K12" t="s">
        <v>361</v>
      </c>
      <c r="L12">
        <v>1368</v>
      </c>
      <c r="N12">
        <v>1011</v>
      </c>
      <c r="O12" t="s">
        <v>350</v>
      </c>
      <c r="P12" t="s">
        <v>350</v>
      </c>
      <c r="Q12">
        <v>1</v>
      </c>
      <c r="X12">
        <v>0.4</v>
      </c>
      <c r="Y12">
        <v>0</v>
      </c>
      <c r="Z12">
        <v>110</v>
      </c>
      <c r="AA12">
        <v>11.6</v>
      </c>
      <c r="AB12">
        <v>0</v>
      </c>
      <c r="AC12">
        <v>0</v>
      </c>
      <c r="AD12">
        <v>1</v>
      </c>
      <c r="AE12">
        <v>0</v>
      </c>
      <c r="AF12" t="s">
        <v>40</v>
      </c>
      <c r="AG12">
        <v>0.48</v>
      </c>
      <c r="AH12">
        <v>2</v>
      </c>
      <c r="AI12">
        <v>35891844</v>
      </c>
      <c r="AJ12">
        <v>11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ROW(Source!A32)</f>
        <v>32</v>
      </c>
      <c r="B13">
        <v>35891851</v>
      </c>
      <c r="C13">
        <v>35891839</v>
      </c>
      <c r="D13">
        <v>31520646</v>
      </c>
      <c r="E13">
        <v>1</v>
      </c>
      <c r="F13">
        <v>1</v>
      </c>
      <c r="G13">
        <v>1</v>
      </c>
      <c r="H13">
        <v>2</v>
      </c>
      <c r="I13" t="s">
        <v>362</v>
      </c>
      <c r="J13" t="s">
        <v>363</v>
      </c>
      <c r="K13" t="s">
        <v>364</v>
      </c>
      <c r="L13">
        <v>1368</v>
      </c>
      <c r="N13">
        <v>1011</v>
      </c>
      <c r="O13" t="s">
        <v>350</v>
      </c>
      <c r="P13" t="s">
        <v>350</v>
      </c>
      <c r="Q13">
        <v>1</v>
      </c>
      <c r="X13">
        <v>13.73</v>
      </c>
      <c r="Y13">
        <v>0</v>
      </c>
      <c r="Z13">
        <v>65.709999999999994</v>
      </c>
      <c r="AA13">
        <v>11.6</v>
      </c>
      <c r="AB13">
        <v>0</v>
      </c>
      <c r="AC13">
        <v>0</v>
      </c>
      <c r="AD13">
        <v>1</v>
      </c>
      <c r="AE13">
        <v>0</v>
      </c>
      <c r="AF13" t="s">
        <v>40</v>
      </c>
      <c r="AG13">
        <v>16.475999999999999</v>
      </c>
      <c r="AH13">
        <v>2</v>
      </c>
      <c r="AI13">
        <v>35891845</v>
      </c>
      <c r="AJ13">
        <v>12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ROW(Source!A34)</f>
        <v>34</v>
      </c>
      <c r="B14">
        <v>35891855</v>
      </c>
      <c r="C14">
        <v>35891853</v>
      </c>
      <c r="D14">
        <v>31703848</v>
      </c>
      <c r="E14">
        <v>1</v>
      </c>
      <c r="F14">
        <v>1</v>
      </c>
      <c r="G14">
        <v>1</v>
      </c>
      <c r="H14">
        <v>1</v>
      </c>
      <c r="I14" t="s">
        <v>365</v>
      </c>
      <c r="J14" t="s">
        <v>3</v>
      </c>
      <c r="K14" t="s">
        <v>366</v>
      </c>
      <c r="L14">
        <v>1191</v>
      </c>
      <c r="N14">
        <v>1013</v>
      </c>
      <c r="O14" t="s">
        <v>344</v>
      </c>
      <c r="P14" t="s">
        <v>344</v>
      </c>
      <c r="Q14">
        <v>1</v>
      </c>
      <c r="X14">
        <v>154</v>
      </c>
      <c r="Y14">
        <v>0</v>
      </c>
      <c r="Z14">
        <v>0</v>
      </c>
      <c r="AA14">
        <v>0</v>
      </c>
      <c r="AB14">
        <v>7.8</v>
      </c>
      <c r="AC14">
        <v>0</v>
      </c>
      <c r="AD14">
        <v>1</v>
      </c>
      <c r="AE14">
        <v>1</v>
      </c>
      <c r="AF14" t="s">
        <v>40</v>
      </c>
      <c r="AG14">
        <v>184.79999999999998</v>
      </c>
      <c r="AH14">
        <v>2</v>
      </c>
      <c r="AI14">
        <v>35891854</v>
      </c>
      <c r="AJ14">
        <v>13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ROW(Source!A35)</f>
        <v>35</v>
      </c>
      <c r="B15">
        <v>35891861</v>
      </c>
      <c r="C15">
        <v>35891856</v>
      </c>
      <c r="D15">
        <v>31709886</v>
      </c>
      <c r="E15">
        <v>1</v>
      </c>
      <c r="F15">
        <v>1</v>
      </c>
      <c r="G15">
        <v>1</v>
      </c>
      <c r="H15">
        <v>1</v>
      </c>
      <c r="I15" t="s">
        <v>367</v>
      </c>
      <c r="J15" t="s">
        <v>3</v>
      </c>
      <c r="K15" t="s">
        <v>368</v>
      </c>
      <c r="L15">
        <v>1191</v>
      </c>
      <c r="N15">
        <v>1013</v>
      </c>
      <c r="O15" t="s">
        <v>344</v>
      </c>
      <c r="P15" t="s">
        <v>344</v>
      </c>
      <c r="Q15">
        <v>1</v>
      </c>
      <c r="X15">
        <v>5.3</v>
      </c>
      <c r="Y15">
        <v>0</v>
      </c>
      <c r="Z15">
        <v>0</v>
      </c>
      <c r="AA15">
        <v>0</v>
      </c>
      <c r="AB15">
        <v>9.6199999999999992</v>
      </c>
      <c r="AC15">
        <v>0</v>
      </c>
      <c r="AD15">
        <v>1</v>
      </c>
      <c r="AE15">
        <v>1</v>
      </c>
      <c r="AF15" t="s">
        <v>40</v>
      </c>
      <c r="AG15">
        <v>6.3599999999999994</v>
      </c>
      <c r="AH15">
        <v>2</v>
      </c>
      <c r="AI15">
        <v>35891857</v>
      </c>
      <c r="AJ15">
        <v>14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ROW(Source!A35)</f>
        <v>35</v>
      </c>
      <c r="B16">
        <v>35891862</v>
      </c>
      <c r="C16">
        <v>35891856</v>
      </c>
      <c r="D16">
        <v>31703727</v>
      </c>
      <c r="E16">
        <v>1</v>
      </c>
      <c r="F16">
        <v>1</v>
      </c>
      <c r="G16">
        <v>1</v>
      </c>
      <c r="H16">
        <v>1</v>
      </c>
      <c r="I16" t="s">
        <v>345</v>
      </c>
      <c r="J16" t="s">
        <v>3</v>
      </c>
      <c r="K16" t="s">
        <v>346</v>
      </c>
      <c r="L16">
        <v>1191</v>
      </c>
      <c r="N16">
        <v>1013</v>
      </c>
      <c r="O16" t="s">
        <v>344</v>
      </c>
      <c r="P16" t="s">
        <v>344</v>
      </c>
      <c r="Q16">
        <v>1</v>
      </c>
      <c r="X16">
        <v>3.9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2</v>
      </c>
      <c r="AF16" t="s">
        <v>40</v>
      </c>
      <c r="AG16">
        <v>4.68</v>
      </c>
      <c r="AH16">
        <v>2</v>
      </c>
      <c r="AI16">
        <v>35891858</v>
      </c>
      <c r="AJ16">
        <v>15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ROW(Source!A35)</f>
        <v>35</v>
      </c>
      <c r="B17">
        <v>35891863</v>
      </c>
      <c r="C17">
        <v>35891856</v>
      </c>
      <c r="D17">
        <v>31520646</v>
      </c>
      <c r="E17">
        <v>1</v>
      </c>
      <c r="F17">
        <v>1</v>
      </c>
      <c r="G17">
        <v>1</v>
      </c>
      <c r="H17">
        <v>2</v>
      </c>
      <c r="I17" t="s">
        <v>362</v>
      </c>
      <c r="J17" t="s">
        <v>363</v>
      </c>
      <c r="K17" t="s">
        <v>364</v>
      </c>
      <c r="L17">
        <v>1368</v>
      </c>
      <c r="N17">
        <v>1011</v>
      </c>
      <c r="O17" t="s">
        <v>350</v>
      </c>
      <c r="P17" t="s">
        <v>350</v>
      </c>
      <c r="Q17">
        <v>1</v>
      </c>
      <c r="X17">
        <v>3.9</v>
      </c>
      <c r="Y17">
        <v>0</v>
      </c>
      <c r="Z17">
        <v>65.709999999999994</v>
      </c>
      <c r="AA17">
        <v>11.6</v>
      </c>
      <c r="AB17">
        <v>0</v>
      </c>
      <c r="AC17">
        <v>0</v>
      </c>
      <c r="AD17">
        <v>1</v>
      </c>
      <c r="AE17">
        <v>0</v>
      </c>
      <c r="AF17" t="s">
        <v>40</v>
      </c>
      <c r="AG17">
        <v>4.68</v>
      </c>
      <c r="AH17">
        <v>2</v>
      </c>
      <c r="AI17">
        <v>35891859</v>
      </c>
      <c r="AJ17">
        <v>16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ROW(Source!A35)</f>
        <v>35</v>
      </c>
      <c r="B18">
        <v>35891864</v>
      </c>
      <c r="C18">
        <v>35891856</v>
      </c>
      <c r="D18">
        <v>31435925</v>
      </c>
      <c r="E18">
        <v>17</v>
      </c>
      <c r="F18">
        <v>1</v>
      </c>
      <c r="G18">
        <v>1</v>
      </c>
      <c r="H18">
        <v>3</v>
      </c>
      <c r="I18" t="s">
        <v>369</v>
      </c>
      <c r="J18" t="s">
        <v>3</v>
      </c>
      <c r="K18" t="s">
        <v>370</v>
      </c>
      <c r="L18">
        <v>1374</v>
      </c>
      <c r="N18">
        <v>1013</v>
      </c>
      <c r="O18" t="s">
        <v>371</v>
      </c>
      <c r="P18" t="s">
        <v>371</v>
      </c>
      <c r="Q18">
        <v>1</v>
      </c>
      <c r="X18">
        <v>1.02</v>
      </c>
      <c r="Y18">
        <v>1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1.02</v>
      </c>
      <c r="AH18">
        <v>2</v>
      </c>
      <c r="AI18">
        <v>35891860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ROW(Source!A37)</f>
        <v>37</v>
      </c>
      <c r="B19">
        <v>35891943</v>
      </c>
      <c r="C19">
        <v>35891929</v>
      </c>
      <c r="D19">
        <v>31709886</v>
      </c>
      <c r="E19">
        <v>1</v>
      </c>
      <c r="F19">
        <v>1</v>
      </c>
      <c r="G19">
        <v>1</v>
      </c>
      <c r="H19">
        <v>1</v>
      </c>
      <c r="I19" t="s">
        <v>367</v>
      </c>
      <c r="J19" t="s">
        <v>3</v>
      </c>
      <c r="K19" t="s">
        <v>368</v>
      </c>
      <c r="L19">
        <v>1191</v>
      </c>
      <c r="N19">
        <v>1013</v>
      </c>
      <c r="O19" t="s">
        <v>344</v>
      </c>
      <c r="P19" t="s">
        <v>344</v>
      </c>
      <c r="Q19">
        <v>1</v>
      </c>
      <c r="X19">
        <v>17.600000000000001</v>
      </c>
      <c r="Y19">
        <v>0</v>
      </c>
      <c r="Z19">
        <v>0</v>
      </c>
      <c r="AA19">
        <v>0</v>
      </c>
      <c r="AB19">
        <v>9.6199999999999992</v>
      </c>
      <c r="AC19">
        <v>0</v>
      </c>
      <c r="AD19">
        <v>1</v>
      </c>
      <c r="AE19">
        <v>1</v>
      </c>
      <c r="AF19" t="s">
        <v>40</v>
      </c>
      <c r="AG19">
        <v>21.12</v>
      </c>
      <c r="AH19">
        <v>2</v>
      </c>
      <c r="AI19">
        <v>35891930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ROW(Source!A37)</f>
        <v>37</v>
      </c>
      <c r="B20">
        <v>35891944</v>
      </c>
      <c r="C20">
        <v>35891929</v>
      </c>
      <c r="D20">
        <v>31703727</v>
      </c>
      <c r="E20">
        <v>1</v>
      </c>
      <c r="F20">
        <v>1</v>
      </c>
      <c r="G20">
        <v>1</v>
      </c>
      <c r="H20">
        <v>1</v>
      </c>
      <c r="I20" t="s">
        <v>345</v>
      </c>
      <c r="J20" t="s">
        <v>3</v>
      </c>
      <c r="K20" t="s">
        <v>346</v>
      </c>
      <c r="L20">
        <v>1191</v>
      </c>
      <c r="N20">
        <v>1013</v>
      </c>
      <c r="O20" t="s">
        <v>344</v>
      </c>
      <c r="P20" t="s">
        <v>344</v>
      </c>
      <c r="Q20">
        <v>1</v>
      </c>
      <c r="X20">
        <v>2.64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2</v>
      </c>
      <c r="AF20" t="s">
        <v>40</v>
      </c>
      <c r="AG20">
        <v>3.1680000000000001</v>
      </c>
      <c r="AH20">
        <v>2</v>
      </c>
      <c r="AI20">
        <v>35891931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ROW(Source!A37)</f>
        <v>37</v>
      </c>
      <c r="B21">
        <v>35891945</v>
      </c>
      <c r="C21">
        <v>35891929</v>
      </c>
      <c r="D21">
        <v>31519244</v>
      </c>
      <c r="E21">
        <v>1</v>
      </c>
      <c r="F21">
        <v>1</v>
      </c>
      <c r="G21">
        <v>1</v>
      </c>
      <c r="H21">
        <v>2</v>
      </c>
      <c r="I21" t="s">
        <v>351</v>
      </c>
      <c r="J21" t="s">
        <v>352</v>
      </c>
      <c r="K21" t="s">
        <v>353</v>
      </c>
      <c r="L21">
        <v>1368</v>
      </c>
      <c r="N21">
        <v>1011</v>
      </c>
      <c r="O21" t="s">
        <v>350</v>
      </c>
      <c r="P21" t="s">
        <v>350</v>
      </c>
      <c r="Q21">
        <v>1</v>
      </c>
      <c r="X21">
        <v>1.32</v>
      </c>
      <c r="Y21">
        <v>0</v>
      </c>
      <c r="Z21">
        <v>111.99</v>
      </c>
      <c r="AA21">
        <v>13.5</v>
      </c>
      <c r="AB21">
        <v>0</v>
      </c>
      <c r="AC21">
        <v>0</v>
      </c>
      <c r="AD21">
        <v>1</v>
      </c>
      <c r="AE21">
        <v>0</v>
      </c>
      <c r="AF21" t="s">
        <v>40</v>
      </c>
      <c r="AG21">
        <v>1.5840000000000001</v>
      </c>
      <c r="AH21">
        <v>2</v>
      </c>
      <c r="AI21">
        <v>35891932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ROW(Source!A37)</f>
        <v>37</v>
      </c>
      <c r="B22">
        <v>35891946</v>
      </c>
      <c r="C22">
        <v>35891929</v>
      </c>
      <c r="D22">
        <v>31519376</v>
      </c>
      <c r="E22">
        <v>1</v>
      </c>
      <c r="F22">
        <v>1</v>
      </c>
      <c r="G22">
        <v>1</v>
      </c>
      <c r="H22">
        <v>2</v>
      </c>
      <c r="I22" t="s">
        <v>372</v>
      </c>
      <c r="J22" t="s">
        <v>373</v>
      </c>
      <c r="K22" t="s">
        <v>374</v>
      </c>
      <c r="L22">
        <v>1368</v>
      </c>
      <c r="N22">
        <v>1011</v>
      </c>
      <c r="O22" t="s">
        <v>350</v>
      </c>
      <c r="P22" t="s">
        <v>350</v>
      </c>
      <c r="Q22">
        <v>1</v>
      </c>
      <c r="X22">
        <v>3.97</v>
      </c>
      <c r="Y22">
        <v>0</v>
      </c>
      <c r="Z22">
        <v>0.9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40</v>
      </c>
      <c r="AG22">
        <v>4.7640000000000002</v>
      </c>
      <c r="AH22">
        <v>2</v>
      </c>
      <c r="AI22">
        <v>35891933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ROW(Source!A37)</f>
        <v>37</v>
      </c>
      <c r="B23">
        <v>35891947</v>
      </c>
      <c r="C23">
        <v>35891929</v>
      </c>
      <c r="D23">
        <v>31519442</v>
      </c>
      <c r="E23">
        <v>1</v>
      </c>
      <c r="F23">
        <v>1</v>
      </c>
      <c r="G23">
        <v>1</v>
      </c>
      <c r="H23">
        <v>2</v>
      </c>
      <c r="I23" t="s">
        <v>375</v>
      </c>
      <c r="J23" t="s">
        <v>376</v>
      </c>
      <c r="K23" t="s">
        <v>377</v>
      </c>
      <c r="L23">
        <v>1368</v>
      </c>
      <c r="N23">
        <v>1011</v>
      </c>
      <c r="O23" t="s">
        <v>350</v>
      </c>
      <c r="P23" t="s">
        <v>350</v>
      </c>
      <c r="Q23">
        <v>1</v>
      </c>
      <c r="X23">
        <v>3.97</v>
      </c>
      <c r="Y23">
        <v>0</v>
      </c>
      <c r="Z23">
        <v>6.9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40</v>
      </c>
      <c r="AG23">
        <v>4.7640000000000002</v>
      </c>
      <c r="AH23">
        <v>2</v>
      </c>
      <c r="AI23">
        <v>35891934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ROW(Source!A37)</f>
        <v>37</v>
      </c>
      <c r="B24">
        <v>35891948</v>
      </c>
      <c r="C24">
        <v>35891929</v>
      </c>
      <c r="D24">
        <v>31520646</v>
      </c>
      <c r="E24">
        <v>1</v>
      </c>
      <c r="F24">
        <v>1</v>
      </c>
      <c r="G24">
        <v>1</v>
      </c>
      <c r="H24">
        <v>2</v>
      </c>
      <c r="I24" t="s">
        <v>362</v>
      </c>
      <c r="J24" t="s">
        <v>363</v>
      </c>
      <c r="K24" t="s">
        <v>364</v>
      </c>
      <c r="L24">
        <v>1368</v>
      </c>
      <c r="N24">
        <v>1011</v>
      </c>
      <c r="O24" t="s">
        <v>350</v>
      </c>
      <c r="P24" t="s">
        <v>350</v>
      </c>
      <c r="Q24">
        <v>1</v>
      </c>
      <c r="X24">
        <v>1.32</v>
      </c>
      <c r="Y24">
        <v>0</v>
      </c>
      <c r="Z24">
        <v>65.709999999999994</v>
      </c>
      <c r="AA24">
        <v>11.6</v>
      </c>
      <c r="AB24">
        <v>0</v>
      </c>
      <c r="AC24">
        <v>0</v>
      </c>
      <c r="AD24">
        <v>1</v>
      </c>
      <c r="AE24">
        <v>0</v>
      </c>
      <c r="AF24" t="s">
        <v>40</v>
      </c>
      <c r="AG24">
        <v>1.5840000000000001</v>
      </c>
      <c r="AH24">
        <v>2</v>
      </c>
      <c r="AI24">
        <v>35891935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ROW(Source!A37)</f>
        <v>37</v>
      </c>
      <c r="B25">
        <v>35891949</v>
      </c>
      <c r="C25">
        <v>35891929</v>
      </c>
      <c r="D25">
        <v>31438964</v>
      </c>
      <c r="E25">
        <v>1</v>
      </c>
      <c r="F25">
        <v>1</v>
      </c>
      <c r="G25">
        <v>1</v>
      </c>
      <c r="H25">
        <v>3</v>
      </c>
      <c r="I25" t="s">
        <v>378</v>
      </c>
      <c r="J25" t="s">
        <v>379</v>
      </c>
      <c r="K25" t="s">
        <v>380</v>
      </c>
      <c r="L25">
        <v>1308</v>
      </c>
      <c r="N25">
        <v>1003</v>
      </c>
      <c r="O25" t="s">
        <v>73</v>
      </c>
      <c r="P25" t="s">
        <v>73</v>
      </c>
      <c r="Q25">
        <v>100</v>
      </c>
      <c r="X25">
        <v>9.5999999999999992E-3</v>
      </c>
      <c r="Y25">
        <v>120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3</v>
      </c>
      <c r="AG25">
        <v>9.5999999999999992E-3</v>
      </c>
      <c r="AH25">
        <v>2</v>
      </c>
      <c r="AI25">
        <v>35891936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ROW(Source!A37)</f>
        <v>37</v>
      </c>
      <c r="B26">
        <v>35891950</v>
      </c>
      <c r="C26">
        <v>35891929</v>
      </c>
      <c r="D26">
        <v>31462868</v>
      </c>
      <c r="E26">
        <v>1</v>
      </c>
      <c r="F26">
        <v>1</v>
      </c>
      <c r="G26">
        <v>1</v>
      </c>
      <c r="H26">
        <v>3</v>
      </c>
      <c r="I26" t="s">
        <v>381</v>
      </c>
      <c r="J26" t="s">
        <v>382</v>
      </c>
      <c r="K26" t="s">
        <v>383</v>
      </c>
      <c r="L26">
        <v>1348</v>
      </c>
      <c r="N26">
        <v>1009</v>
      </c>
      <c r="O26" t="s">
        <v>384</v>
      </c>
      <c r="P26" t="s">
        <v>384</v>
      </c>
      <c r="Q26">
        <v>1000</v>
      </c>
      <c r="X26">
        <v>1E-3</v>
      </c>
      <c r="Y26">
        <v>5000</v>
      </c>
      <c r="Z26">
        <v>0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1E-3</v>
      </c>
      <c r="AH26">
        <v>2</v>
      </c>
      <c r="AI26">
        <v>35891937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ROW(Source!A37)</f>
        <v>37</v>
      </c>
      <c r="B27">
        <v>35891951</v>
      </c>
      <c r="C27">
        <v>35891929</v>
      </c>
      <c r="D27">
        <v>31462957</v>
      </c>
      <c r="E27">
        <v>1</v>
      </c>
      <c r="F27">
        <v>1</v>
      </c>
      <c r="G27">
        <v>1</v>
      </c>
      <c r="H27">
        <v>3</v>
      </c>
      <c r="I27" t="s">
        <v>385</v>
      </c>
      <c r="J27" t="s">
        <v>386</v>
      </c>
      <c r="K27" t="s">
        <v>387</v>
      </c>
      <c r="L27">
        <v>1348</v>
      </c>
      <c r="N27">
        <v>1009</v>
      </c>
      <c r="O27" t="s">
        <v>384</v>
      </c>
      <c r="P27" t="s">
        <v>384</v>
      </c>
      <c r="Q27">
        <v>1000</v>
      </c>
      <c r="X27">
        <v>0.01</v>
      </c>
      <c r="Y27">
        <v>5763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0.01</v>
      </c>
      <c r="AH27">
        <v>2</v>
      </c>
      <c r="AI27">
        <v>35891938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ROW(Source!A37)</f>
        <v>37</v>
      </c>
      <c r="B28">
        <v>35891952</v>
      </c>
      <c r="C28">
        <v>35891929</v>
      </c>
      <c r="D28">
        <v>31475211</v>
      </c>
      <c r="E28">
        <v>1</v>
      </c>
      <c r="F28">
        <v>1</v>
      </c>
      <c r="G28">
        <v>1</v>
      </c>
      <c r="H28">
        <v>3</v>
      </c>
      <c r="I28" t="s">
        <v>388</v>
      </c>
      <c r="J28" t="s">
        <v>389</v>
      </c>
      <c r="K28" t="s">
        <v>390</v>
      </c>
      <c r="L28">
        <v>1346</v>
      </c>
      <c r="N28">
        <v>1009</v>
      </c>
      <c r="O28" t="s">
        <v>146</v>
      </c>
      <c r="P28" t="s">
        <v>146</v>
      </c>
      <c r="Q28">
        <v>1</v>
      </c>
      <c r="X28">
        <v>0.25</v>
      </c>
      <c r="Y28">
        <v>28.6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0.25</v>
      </c>
      <c r="AH28">
        <v>2</v>
      </c>
      <c r="AI28">
        <v>35891939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ROW(Source!A37)</f>
        <v>37</v>
      </c>
      <c r="B29">
        <v>35891953</v>
      </c>
      <c r="C29">
        <v>35891929</v>
      </c>
      <c r="D29">
        <v>31475248</v>
      </c>
      <c r="E29">
        <v>1</v>
      </c>
      <c r="F29">
        <v>1</v>
      </c>
      <c r="G29">
        <v>1</v>
      </c>
      <c r="H29">
        <v>3</v>
      </c>
      <c r="I29" t="s">
        <v>391</v>
      </c>
      <c r="J29" t="s">
        <v>392</v>
      </c>
      <c r="K29" t="s">
        <v>393</v>
      </c>
      <c r="L29">
        <v>1348</v>
      </c>
      <c r="N29">
        <v>1009</v>
      </c>
      <c r="O29" t="s">
        <v>384</v>
      </c>
      <c r="P29" t="s">
        <v>384</v>
      </c>
      <c r="Q29">
        <v>1000</v>
      </c>
      <c r="X29">
        <v>6.0000000000000002E-5</v>
      </c>
      <c r="Y29">
        <v>7826.9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6.0000000000000002E-5</v>
      </c>
      <c r="AH29">
        <v>2</v>
      </c>
      <c r="AI29">
        <v>35891940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ROW(Source!A37)</f>
        <v>37</v>
      </c>
      <c r="B30">
        <v>35891954</v>
      </c>
      <c r="C30">
        <v>35891929</v>
      </c>
      <c r="D30">
        <v>31435925</v>
      </c>
      <c r="E30">
        <v>17</v>
      </c>
      <c r="F30">
        <v>1</v>
      </c>
      <c r="G30">
        <v>1</v>
      </c>
      <c r="H30">
        <v>3</v>
      </c>
      <c r="I30" t="s">
        <v>369</v>
      </c>
      <c r="J30" t="s">
        <v>3</v>
      </c>
      <c r="K30" t="s">
        <v>370</v>
      </c>
      <c r="L30">
        <v>1374</v>
      </c>
      <c r="N30">
        <v>1013</v>
      </c>
      <c r="O30" t="s">
        <v>371</v>
      </c>
      <c r="P30" t="s">
        <v>371</v>
      </c>
      <c r="Q30">
        <v>1</v>
      </c>
      <c r="X30">
        <v>3.39</v>
      </c>
      <c r="Y30">
        <v>1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3.39</v>
      </c>
      <c r="AH30">
        <v>2</v>
      </c>
      <c r="AI30">
        <v>35891941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ROW(Source!A39)</f>
        <v>39</v>
      </c>
      <c r="B31">
        <v>35891962</v>
      </c>
      <c r="C31">
        <v>35891956</v>
      </c>
      <c r="D31">
        <v>31709886</v>
      </c>
      <c r="E31">
        <v>1</v>
      </c>
      <c r="F31">
        <v>1</v>
      </c>
      <c r="G31">
        <v>1</v>
      </c>
      <c r="H31">
        <v>1</v>
      </c>
      <c r="I31" t="s">
        <v>367</v>
      </c>
      <c r="J31" t="s">
        <v>3</v>
      </c>
      <c r="K31" t="s">
        <v>368</v>
      </c>
      <c r="L31">
        <v>1191</v>
      </c>
      <c r="N31">
        <v>1013</v>
      </c>
      <c r="O31" t="s">
        <v>344</v>
      </c>
      <c r="P31" t="s">
        <v>344</v>
      </c>
      <c r="Q31">
        <v>1</v>
      </c>
      <c r="X31">
        <v>5.74</v>
      </c>
      <c r="Y31">
        <v>0</v>
      </c>
      <c r="Z31">
        <v>0</v>
      </c>
      <c r="AA31">
        <v>0</v>
      </c>
      <c r="AB31">
        <v>9.6199999999999992</v>
      </c>
      <c r="AC31">
        <v>0</v>
      </c>
      <c r="AD31">
        <v>1</v>
      </c>
      <c r="AE31">
        <v>1</v>
      </c>
      <c r="AF31" t="s">
        <v>40</v>
      </c>
      <c r="AG31">
        <v>6.8879999999999999</v>
      </c>
      <c r="AH31">
        <v>2</v>
      </c>
      <c r="AI31">
        <v>35891957</v>
      </c>
      <c r="AJ31">
        <v>32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ROW(Source!A39)</f>
        <v>39</v>
      </c>
      <c r="B32">
        <v>35891963</v>
      </c>
      <c r="C32">
        <v>35891956</v>
      </c>
      <c r="D32">
        <v>31703727</v>
      </c>
      <c r="E32">
        <v>1</v>
      </c>
      <c r="F32">
        <v>1</v>
      </c>
      <c r="G32">
        <v>1</v>
      </c>
      <c r="H32">
        <v>1</v>
      </c>
      <c r="I32" t="s">
        <v>345</v>
      </c>
      <c r="J32" t="s">
        <v>3</v>
      </c>
      <c r="K32" t="s">
        <v>346</v>
      </c>
      <c r="L32">
        <v>1191</v>
      </c>
      <c r="N32">
        <v>1013</v>
      </c>
      <c r="O32" t="s">
        <v>344</v>
      </c>
      <c r="P32" t="s">
        <v>344</v>
      </c>
      <c r="Q32">
        <v>1</v>
      </c>
      <c r="X32">
        <v>3.84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2</v>
      </c>
      <c r="AF32" t="s">
        <v>40</v>
      </c>
      <c r="AG32">
        <v>4.6079999999999997</v>
      </c>
      <c r="AH32">
        <v>2</v>
      </c>
      <c r="AI32">
        <v>35891958</v>
      </c>
      <c r="AJ32">
        <v>33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ROW(Source!A39)</f>
        <v>39</v>
      </c>
      <c r="B33">
        <v>35891964</v>
      </c>
      <c r="C33">
        <v>35891956</v>
      </c>
      <c r="D33">
        <v>31519244</v>
      </c>
      <c r="E33">
        <v>1</v>
      </c>
      <c r="F33">
        <v>1</v>
      </c>
      <c r="G33">
        <v>1</v>
      </c>
      <c r="H33">
        <v>2</v>
      </c>
      <c r="I33" t="s">
        <v>351</v>
      </c>
      <c r="J33" t="s">
        <v>352</v>
      </c>
      <c r="K33" t="s">
        <v>353</v>
      </c>
      <c r="L33">
        <v>1368</v>
      </c>
      <c r="N33">
        <v>1011</v>
      </c>
      <c r="O33" t="s">
        <v>350</v>
      </c>
      <c r="P33" t="s">
        <v>350</v>
      </c>
      <c r="Q33">
        <v>1</v>
      </c>
      <c r="X33">
        <v>1.92</v>
      </c>
      <c r="Y33">
        <v>0</v>
      </c>
      <c r="Z33">
        <v>111.99</v>
      </c>
      <c r="AA33">
        <v>13.5</v>
      </c>
      <c r="AB33">
        <v>0</v>
      </c>
      <c r="AC33">
        <v>0</v>
      </c>
      <c r="AD33">
        <v>1</v>
      </c>
      <c r="AE33">
        <v>0</v>
      </c>
      <c r="AF33" t="s">
        <v>40</v>
      </c>
      <c r="AG33">
        <v>2.3039999999999998</v>
      </c>
      <c r="AH33">
        <v>2</v>
      </c>
      <c r="AI33">
        <v>35891959</v>
      </c>
      <c r="AJ33">
        <v>34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ROW(Source!A39)</f>
        <v>39</v>
      </c>
      <c r="B34">
        <v>35891965</v>
      </c>
      <c r="C34">
        <v>35891956</v>
      </c>
      <c r="D34">
        <v>31520646</v>
      </c>
      <c r="E34">
        <v>1</v>
      </c>
      <c r="F34">
        <v>1</v>
      </c>
      <c r="G34">
        <v>1</v>
      </c>
      <c r="H34">
        <v>2</v>
      </c>
      <c r="I34" t="s">
        <v>362</v>
      </c>
      <c r="J34" t="s">
        <v>363</v>
      </c>
      <c r="K34" t="s">
        <v>364</v>
      </c>
      <c r="L34">
        <v>1368</v>
      </c>
      <c r="N34">
        <v>1011</v>
      </c>
      <c r="O34" t="s">
        <v>350</v>
      </c>
      <c r="P34" t="s">
        <v>350</v>
      </c>
      <c r="Q34">
        <v>1</v>
      </c>
      <c r="X34">
        <v>1.92</v>
      </c>
      <c r="Y34">
        <v>0</v>
      </c>
      <c r="Z34">
        <v>65.709999999999994</v>
      </c>
      <c r="AA34">
        <v>11.6</v>
      </c>
      <c r="AB34">
        <v>0</v>
      </c>
      <c r="AC34">
        <v>0</v>
      </c>
      <c r="AD34">
        <v>1</v>
      </c>
      <c r="AE34">
        <v>0</v>
      </c>
      <c r="AF34" t="s">
        <v>40</v>
      </c>
      <c r="AG34">
        <v>2.3039999999999998</v>
      </c>
      <c r="AH34">
        <v>2</v>
      </c>
      <c r="AI34">
        <v>35891960</v>
      </c>
      <c r="AJ34">
        <v>35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ROW(Source!A39)</f>
        <v>39</v>
      </c>
      <c r="B35">
        <v>35891966</v>
      </c>
      <c r="C35">
        <v>35891956</v>
      </c>
      <c r="D35">
        <v>31435925</v>
      </c>
      <c r="E35">
        <v>17</v>
      </c>
      <c r="F35">
        <v>1</v>
      </c>
      <c r="G35">
        <v>1</v>
      </c>
      <c r="H35">
        <v>3</v>
      </c>
      <c r="I35" t="s">
        <v>369</v>
      </c>
      <c r="J35" t="s">
        <v>3</v>
      </c>
      <c r="K35" t="s">
        <v>370</v>
      </c>
      <c r="L35">
        <v>1374</v>
      </c>
      <c r="N35">
        <v>1013</v>
      </c>
      <c r="O35" t="s">
        <v>371</v>
      </c>
      <c r="P35" t="s">
        <v>371</v>
      </c>
      <c r="Q35">
        <v>1</v>
      </c>
      <c r="X35">
        <v>1.1000000000000001</v>
      </c>
      <c r="Y35">
        <v>1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3</v>
      </c>
      <c r="AG35">
        <v>1.1000000000000001</v>
      </c>
      <c r="AH35">
        <v>2</v>
      </c>
      <c r="AI35">
        <v>35891961</v>
      </c>
      <c r="AJ35">
        <v>36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ROW(Source!A41)</f>
        <v>41</v>
      </c>
      <c r="B36">
        <v>35891983</v>
      </c>
      <c r="C36">
        <v>35891980</v>
      </c>
      <c r="D36">
        <v>31710352</v>
      </c>
      <c r="E36">
        <v>1</v>
      </c>
      <c r="F36">
        <v>1</v>
      </c>
      <c r="G36">
        <v>1</v>
      </c>
      <c r="H36">
        <v>1</v>
      </c>
      <c r="I36" t="s">
        <v>394</v>
      </c>
      <c r="J36" t="s">
        <v>3</v>
      </c>
      <c r="K36" t="s">
        <v>395</v>
      </c>
      <c r="L36">
        <v>1191</v>
      </c>
      <c r="N36">
        <v>1013</v>
      </c>
      <c r="O36" t="s">
        <v>344</v>
      </c>
      <c r="P36" t="s">
        <v>344</v>
      </c>
      <c r="Q36">
        <v>1</v>
      </c>
      <c r="X36">
        <v>97.2</v>
      </c>
      <c r="Y36">
        <v>0</v>
      </c>
      <c r="Z36">
        <v>0</v>
      </c>
      <c r="AA36">
        <v>0</v>
      </c>
      <c r="AB36">
        <v>7.5</v>
      </c>
      <c r="AC36">
        <v>0</v>
      </c>
      <c r="AD36">
        <v>1</v>
      </c>
      <c r="AE36">
        <v>1</v>
      </c>
      <c r="AF36" t="s">
        <v>40</v>
      </c>
      <c r="AG36">
        <v>116.64</v>
      </c>
      <c r="AH36">
        <v>2</v>
      </c>
      <c r="AI36">
        <v>35891981</v>
      </c>
      <c r="AJ36">
        <v>38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ROW(Source!A43)</f>
        <v>43</v>
      </c>
      <c r="B37">
        <v>35892048</v>
      </c>
      <c r="C37">
        <v>35892035</v>
      </c>
      <c r="D37">
        <v>31709886</v>
      </c>
      <c r="E37">
        <v>1</v>
      </c>
      <c r="F37">
        <v>1</v>
      </c>
      <c r="G37">
        <v>1</v>
      </c>
      <c r="H37">
        <v>1</v>
      </c>
      <c r="I37" t="s">
        <v>367</v>
      </c>
      <c r="J37" t="s">
        <v>3</v>
      </c>
      <c r="K37" t="s">
        <v>368</v>
      </c>
      <c r="L37">
        <v>1191</v>
      </c>
      <c r="N37">
        <v>1013</v>
      </c>
      <c r="O37" t="s">
        <v>344</v>
      </c>
      <c r="P37" t="s">
        <v>344</v>
      </c>
      <c r="Q37">
        <v>1</v>
      </c>
      <c r="X37">
        <v>29.84</v>
      </c>
      <c r="Y37">
        <v>0</v>
      </c>
      <c r="Z37">
        <v>0</v>
      </c>
      <c r="AA37">
        <v>0</v>
      </c>
      <c r="AB37">
        <v>9.6199999999999992</v>
      </c>
      <c r="AC37">
        <v>0</v>
      </c>
      <c r="AD37">
        <v>1</v>
      </c>
      <c r="AE37">
        <v>1</v>
      </c>
      <c r="AF37" t="s">
        <v>40</v>
      </c>
      <c r="AG37">
        <v>35.808</v>
      </c>
      <c r="AH37">
        <v>2</v>
      </c>
      <c r="AI37">
        <v>35892036</v>
      </c>
      <c r="AJ37">
        <v>40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ROW(Source!A43)</f>
        <v>43</v>
      </c>
      <c r="B38">
        <v>35892049</v>
      </c>
      <c r="C38">
        <v>35892035</v>
      </c>
      <c r="D38">
        <v>31703727</v>
      </c>
      <c r="E38">
        <v>1</v>
      </c>
      <c r="F38">
        <v>1</v>
      </c>
      <c r="G38">
        <v>1</v>
      </c>
      <c r="H38">
        <v>1</v>
      </c>
      <c r="I38" t="s">
        <v>345</v>
      </c>
      <c r="J38" t="s">
        <v>3</v>
      </c>
      <c r="K38" t="s">
        <v>346</v>
      </c>
      <c r="L38">
        <v>1191</v>
      </c>
      <c r="N38">
        <v>1013</v>
      </c>
      <c r="O38" t="s">
        <v>344</v>
      </c>
      <c r="P38" t="s">
        <v>344</v>
      </c>
      <c r="Q38">
        <v>1</v>
      </c>
      <c r="X38">
        <v>0.4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2</v>
      </c>
      <c r="AF38" t="s">
        <v>40</v>
      </c>
      <c r="AG38">
        <v>0.48</v>
      </c>
      <c r="AH38">
        <v>2</v>
      </c>
      <c r="AI38">
        <v>35892037</v>
      </c>
      <c r="AJ38">
        <v>41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ROW(Source!A43)</f>
        <v>43</v>
      </c>
      <c r="B39">
        <v>35892050</v>
      </c>
      <c r="C39">
        <v>35892035</v>
      </c>
      <c r="D39">
        <v>31519244</v>
      </c>
      <c r="E39">
        <v>1</v>
      </c>
      <c r="F39">
        <v>1</v>
      </c>
      <c r="G39">
        <v>1</v>
      </c>
      <c r="H39">
        <v>2</v>
      </c>
      <c r="I39" t="s">
        <v>351</v>
      </c>
      <c r="J39" t="s">
        <v>352</v>
      </c>
      <c r="K39" t="s">
        <v>353</v>
      </c>
      <c r="L39">
        <v>1368</v>
      </c>
      <c r="N39">
        <v>1011</v>
      </c>
      <c r="O39" t="s">
        <v>350</v>
      </c>
      <c r="P39" t="s">
        <v>350</v>
      </c>
      <c r="Q39">
        <v>1</v>
      </c>
      <c r="X39">
        <v>0.2</v>
      </c>
      <c r="Y39">
        <v>0</v>
      </c>
      <c r="Z39">
        <v>111.99</v>
      </c>
      <c r="AA39">
        <v>13.5</v>
      </c>
      <c r="AB39">
        <v>0</v>
      </c>
      <c r="AC39">
        <v>0</v>
      </c>
      <c r="AD39">
        <v>1</v>
      </c>
      <c r="AE39">
        <v>0</v>
      </c>
      <c r="AF39" t="s">
        <v>40</v>
      </c>
      <c r="AG39">
        <v>0.24</v>
      </c>
      <c r="AH39">
        <v>2</v>
      </c>
      <c r="AI39">
        <v>35892038</v>
      </c>
      <c r="AJ39">
        <v>42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ROW(Source!A43)</f>
        <v>43</v>
      </c>
      <c r="B40">
        <v>35892051</v>
      </c>
      <c r="C40">
        <v>35892035</v>
      </c>
      <c r="D40">
        <v>31519376</v>
      </c>
      <c r="E40">
        <v>1</v>
      </c>
      <c r="F40">
        <v>1</v>
      </c>
      <c r="G40">
        <v>1</v>
      </c>
      <c r="H40">
        <v>2</v>
      </c>
      <c r="I40" t="s">
        <v>372</v>
      </c>
      <c r="J40" t="s">
        <v>373</v>
      </c>
      <c r="K40" t="s">
        <v>374</v>
      </c>
      <c r="L40">
        <v>1368</v>
      </c>
      <c r="N40">
        <v>1011</v>
      </c>
      <c r="O40" t="s">
        <v>350</v>
      </c>
      <c r="P40" t="s">
        <v>350</v>
      </c>
      <c r="Q40">
        <v>1</v>
      </c>
      <c r="X40">
        <v>6.9</v>
      </c>
      <c r="Y40">
        <v>0</v>
      </c>
      <c r="Z40">
        <v>0.9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40</v>
      </c>
      <c r="AG40">
        <v>8.2799999999999994</v>
      </c>
      <c r="AH40">
        <v>2</v>
      </c>
      <c r="AI40">
        <v>35892039</v>
      </c>
      <c r="AJ40">
        <v>43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ROW(Source!A43)</f>
        <v>43</v>
      </c>
      <c r="B41">
        <v>35892052</v>
      </c>
      <c r="C41">
        <v>35892035</v>
      </c>
      <c r="D41">
        <v>31519442</v>
      </c>
      <c r="E41">
        <v>1</v>
      </c>
      <c r="F41">
        <v>1</v>
      </c>
      <c r="G41">
        <v>1</v>
      </c>
      <c r="H41">
        <v>2</v>
      </c>
      <c r="I41" t="s">
        <v>375</v>
      </c>
      <c r="J41" t="s">
        <v>376</v>
      </c>
      <c r="K41" t="s">
        <v>377</v>
      </c>
      <c r="L41">
        <v>1368</v>
      </c>
      <c r="N41">
        <v>1011</v>
      </c>
      <c r="O41" t="s">
        <v>350</v>
      </c>
      <c r="P41" t="s">
        <v>350</v>
      </c>
      <c r="Q41">
        <v>1</v>
      </c>
      <c r="X41">
        <v>6.9</v>
      </c>
      <c r="Y41">
        <v>0</v>
      </c>
      <c r="Z41">
        <v>6.9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40</v>
      </c>
      <c r="AG41">
        <v>8.2799999999999994</v>
      </c>
      <c r="AH41">
        <v>2</v>
      </c>
      <c r="AI41">
        <v>35892040</v>
      </c>
      <c r="AJ41">
        <v>44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ROW(Source!A43)</f>
        <v>43</v>
      </c>
      <c r="B42">
        <v>35892053</v>
      </c>
      <c r="C42">
        <v>35892035</v>
      </c>
      <c r="D42">
        <v>31520646</v>
      </c>
      <c r="E42">
        <v>1</v>
      </c>
      <c r="F42">
        <v>1</v>
      </c>
      <c r="G42">
        <v>1</v>
      </c>
      <c r="H42">
        <v>2</v>
      </c>
      <c r="I42" t="s">
        <v>362</v>
      </c>
      <c r="J42" t="s">
        <v>363</v>
      </c>
      <c r="K42" t="s">
        <v>364</v>
      </c>
      <c r="L42">
        <v>1368</v>
      </c>
      <c r="N42">
        <v>1011</v>
      </c>
      <c r="O42" t="s">
        <v>350</v>
      </c>
      <c r="P42" t="s">
        <v>350</v>
      </c>
      <c r="Q42">
        <v>1</v>
      </c>
      <c r="X42">
        <v>0.2</v>
      </c>
      <c r="Y42">
        <v>0</v>
      </c>
      <c r="Z42">
        <v>65.709999999999994</v>
      </c>
      <c r="AA42">
        <v>11.6</v>
      </c>
      <c r="AB42">
        <v>0</v>
      </c>
      <c r="AC42">
        <v>0</v>
      </c>
      <c r="AD42">
        <v>1</v>
      </c>
      <c r="AE42">
        <v>0</v>
      </c>
      <c r="AF42" t="s">
        <v>40</v>
      </c>
      <c r="AG42">
        <v>0.24</v>
      </c>
      <c r="AH42">
        <v>2</v>
      </c>
      <c r="AI42">
        <v>35892041</v>
      </c>
      <c r="AJ42">
        <v>45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ROW(Source!A43)</f>
        <v>43</v>
      </c>
      <c r="B43">
        <v>35892054</v>
      </c>
      <c r="C43">
        <v>35892035</v>
      </c>
      <c r="D43">
        <v>31438964</v>
      </c>
      <c r="E43">
        <v>1</v>
      </c>
      <c r="F43">
        <v>1</v>
      </c>
      <c r="G43">
        <v>1</v>
      </c>
      <c r="H43">
        <v>3</v>
      </c>
      <c r="I43" t="s">
        <v>378</v>
      </c>
      <c r="J43" t="s">
        <v>379</v>
      </c>
      <c r="K43" t="s">
        <v>380</v>
      </c>
      <c r="L43">
        <v>1308</v>
      </c>
      <c r="N43">
        <v>1003</v>
      </c>
      <c r="O43" t="s">
        <v>73</v>
      </c>
      <c r="P43" t="s">
        <v>73</v>
      </c>
      <c r="Q43">
        <v>100</v>
      </c>
      <c r="X43">
        <v>2.4500000000000001E-2</v>
      </c>
      <c r="Y43">
        <v>120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2.4500000000000001E-2</v>
      </c>
      <c r="AH43">
        <v>2</v>
      </c>
      <c r="AI43">
        <v>35892042</v>
      </c>
      <c r="AJ43">
        <v>46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ROW(Source!A43)</f>
        <v>43</v>
      </c>
      <c r="B44">
        <v>35892055</v>
      </c>
      <c r="C44">
        <v>35892035</v>
      </c>
      <c r="D44">
        <v>31441802</v>
      </c>
      <c r="E44">
        <v>1</v>
      </c>
      <c r="F44">
        <v>1</v>
      </c>
      <c r="G44">
        <v>1</v>
      </c>
      <c r="H44">
        <v>3</v>
      </c>
      <c r="I44" t="s">
        <v>396</v>
      </c>
      <c r="J44" t="s">
        <v>397</v>
      </c>
      <c r="K44" t="s">
        <v>398</v>
      </c>
      <c r="L44">
        <v>1348</v>
      </c>
      <c r="N44">
        <v>1009</v>
      </c>
      <c r="O44" t="s">
        <v>384</v>
      </c>
      <c r="P44" t="s">
        <v>384</v>
      </c>
      <c r="Q44">
        <v>1000</v>
      </c>
      <c r="X44">
        <v>6.2E-4</v>
      </c>
      <c r="Y44">
        <v>12430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6.2E-4</v>
      </c>
      <c r="AH44">
        <v>2</v>
      </c>
      <c r="AI44">
        <v>35892043</v>
      </c>
      <c r="AJ44">
        <v>47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ROW(Source!A43)</f>
        <v>43</v>
      </c>
      <c r="B45">
        <v>35892056</v>
      </c>
      <c r="C45">
        <v>35892035</v>
      </c>
      <c r="D45">
        <v>31466422</v>
      </c>
      <c r="E45">
        <v>1</v>
      </c>
      <c r="F45">
        <v>1</v>
      </c>
      <c r="G45">
        <v>1</v>
      </c>
      <c r="H45">
        <v>3</v>
      </c>
      <c r="I45" t="s">
        <v>399</v>
      </c>
      <c r="J45" t="s">
        <v>400</v>
      </c>
      <c r="K45" t="s">
        <v>401</v>
      </c>
      <c r="L45">
        <v>1346</v>
      </c>
      <c r="N45">
        <v>1009</v>
      </c>
      <c r="O45" t="s">
        <v>146</v>
      </c>
      <c r="P45" t="s">
        <v>146</v>
      </c>
      <c r="Q45">
        <v>1</v>
      </c>
      <c r="X45">
        <v>0.25</v>
      </c>
      <c r="Y45">
        <v>68.05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0.25</v>
      </c>
      <c r="AH45">
        <v>2</v>
      </c>
      <c r="AI45">
        <v>35892044</v>
      </c>
      <c r="AJ45">
        <v>48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ROW(Source!A43)</f>
        <v>43</v>
      </c>
      <c r="B46">
        <v>35892057</v>
      </c>
      <c r="C46">
        <v>35892035</v>
      </c>
      <c r="D46">
        <v>31475248</v>
      </c>
      <c r="E46">
        <v>1</v>
      </c>
      <c r="F46">
        <v>1</v>
      </c>
      <c r="G46">
        <v>1</v>
      </c>
      <c r="H46">
        <v>3</v>
      </c>
      <c r="I46" t="s">
        <v>391</v>
      </c>
      <c r="J46" t="s">
        <v>392</v>
      </c>
      <c r="K46" t="s">
        <v>393</v>
      </c>
      <c r="L46">
        <v>1348</v>
      </c>
      <c r="N46">
        <v>1009</v>
      </c>
      <c r="O46" t="s">
        <v>384</v>
      </c>
      <c r="P46" t="s">
        <v>384</v>
      </c>
      <c r="Q46">
        <v>1000</v>
      </c>
      <c r="X46">
        <v>7.2000000000000005E-4</v>
      </c>
      <c r="Y46">
        <v>7826.9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7.2000000000000005E-4</v>
      </c>
      <c r="AH46">
        <v>2</v>
      </c>
      <c r="AI46">
        <v>35892045</v>
      </c>
      <c r="AJ46">
        <v>49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ROW(Source!A43)</f>
        <v>43</v>
      </c>
      <c r="B47">
        <v>35892058</v>
      </c>
      <c r="C47">
        <v>35892035</v>
      </c>
      <c r="D47">
        <v>31435925</v>
      </c>
      <c r="E47">
        <v>17</v>
      </c>
      <c r="F47">
        <v>1</v>
      </c>
      <c r="G47">
        <v>1</v>
      </c>
      <c r="H47">
        <v>3</v>
      </c>
      <c r="I47" t="s">
        <v>369</v>
      </c>
      <c r="J47" t="s">
        <v>3</v>
      </c>
      <c r="K47" t="s">
        <v>370</v>
      </c>
      <c r="L47">
        <v>1374</v>
      </c>
      <c r="N47">
        <v>1013</v>
      </c>
      <c r="O47" t="s">
        <v>371</v>
      </c>
      <c r="P47" t="s">
        <v>371</v>
      </c>
      <c r="Q47">
        <v>1</v>
      </c>
      <c r="X47">
        <v>5.74</v>
      </c>
      <c r="Y47">
        <v>1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5.74</v>
      </c>
      <c r="AH47">
        <v>2</v>
      </c>
      <c r="AI47">
        <v>35892046</v>
      </c>
      <c r="AJ47">
        <v>50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ROW(Source!A45)</f>
        <v>45</v>
      </c>
      <c r="B48">
        <v>35944298</v>
      </c>
      <c r="C48">
        <v>35944297</v>
      </c>
      <c r="D48">
        <v>31709886</v>
      </c>
      <c r="E48">
        <v>1</v>
      </c>
      <c r="F48">
        <v>1</v>
      </c>
      <c r="G48">
        <v>1</v>
      </c>
      <c r="H48">
        <v>1</v>
      </c>
      <c r="I48" t="s">
        <v>367</v>
      </c>
      <c r="J48" t="s">
        <v>3</v>
      </c>
      <c r="K48" t="s">
        <v>368</v>
      </c>
      <c r="L48">
        <v>1191</v>
      </c>
      <c r="N48">
        <v>1013</v>
      </c>
      <c r="O48" t="s">
        <v>344</v>
      </c>
      <c r="P48" t="s">
        <v>344</v>
      </c>
      <c r="Q48">
        <v>1</v>
      </c>
      <c r="X48">
        <v>1.9</v>
      </c>
      <c r="Y48">
        <v>0</v>
      </c>
      <c r="Z48">
        <v>0</v>
      </c>
      <c r="AA48">
        <v>0</v>
      </c>
      <c r="AB48">
        <v>9.6199999999999992</v>
      </c>
      <c r="AC48">
        <v>0</v>
      </c>
      <c r="AD48">
        <v>1</v>
      </c>
      <c r="AE48">
        <v>1</v>
      </c>
      <c r="AF48" t="s">
        <v>40</v>
      </c>
      <c r="AG48">
        <v>2.2799999999999998</v>
      </c>
      <c r="AH48">
        <v>2</v>
      </c>
      <c r="AI48">
        <v>35944298</v>
      </c>
      <c r="AJ48">
        <v>52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ROW(Source!A45)</f>
        <v>45</v>
      </c>
      <c r="B49">
        <v>35944299</v>
      </c>
      <c r="C49">
        <v>35944297</v>
      </c>
      <c r="D49">
        <v>31436888</v>
      </c>
      <c r="E49">
        <v>1</v>
      </c>
      <c r="F49">
        <v>1</v>
      </c>
      <c r="G49">
        <v>1</v>
      </c>
      <c r="H49">
        <v>3</v>
      </c>
      <c r="I49" t="s">
        <v>402</v>
      </c>
      <c r="J49" t="s">
        <v>403</v>
      </c>
      <c r="K49" t="s">
        <v>404</v>
      </c>
      <c r="L49">
        <v>1348</v>
      </c>
      <c r="N49">
        <v>1009</v>
      </c>
      <c r="O49" t="s">
        <v>384</v>
      </c>
      <c r="P49" t="s">
        <v>384</v>
      </c>
      <c r="Q49">
        <v>1000</v>
      </c>
      <c r="X49">
        <v>8.0000000000000004E-4</v>
      </c>
      <c r="Y49">
        <v>4488.3999999999996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8.0000000000000004E-4</v>
      </c>
      <c r="AH49">
        <v>2</v>
      </c>
      <c r="AI49">
        <v>35944299</v>
      </c>
      <c r="AJ49">
        <v>53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ROW(Source!A45)</f>
        <v>45</v>
      </c>
      <c r="B50">
        <v>35944300</v>
      </c>
      <c r="C50">
        <v>35944297</v>
      </c>
      <c r="D50">
        <v>31436924</v>
      </c>
      <c r="E50">
        <v>1</v>
      </c>
      <c r="F50">
        <v>1</v>
      </c>
      <c r="G50">
        <v>1</v>
      </c>
      <c r="H50">
        <v>3</v>
      </c>
      <c r="I50" t="s">
        <v>405</v>
      </c>
      <c r="J50" t="s">
        <v>406</v>
      </c>
      <c r="K50" t="s">
        <v>407</v>
      </c>
      <c r="L50">
        <v>1348</v>
      </c>
      <c r="N50">
        <v>1009</v>
      </c>
      <c r="O50" t="s">
        <v>384</v>
      </c>
      <c r="P50" t="s">
        <v>384</v>
      </c>
      <c r="Q50">
        <v>1000</v>
      </c>
      <c r="X50">
        <v>1.0000000000000001E-5</v>
      </c>
      <c r="Y50">
        <v>8105.71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1.0000000000000001E-5</v>
      </c>
      <c r="AH50">
        <v>2</v>
      </c>
      <c r="AI50">
        <v>35944300</v>
      </c>
      <c r="AJ50">
        <v>54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ROW(Source!A45)</f>
        <v>45</v>
      </c>
      <c r="B51">
        <v>35944301</v>
      </c>
      <c r="C51">
        <v>35944297</v>
      </c>
      <c r="D51">
        <v>31437024</v>
      </c>
      <c r="E51">
        <v>1</v>
      </c>
      <c r="F51">
        <v>1</v>
      </c>
      <c r="G51">
        <v>1</v>
      </c>
      <c r="H51">
        <v>3</v>
      </c>
      <c r="I51" t="s">
        <v>408</v>
      </c>
      <c r="J51" t="s">
        <v>409</v>
      </c>
      <c r="K51" t="s">
        <v>410</v>
      </c>
      <c r="L51">
        <v>1346</v>
      </c>
      <c r="N51">
        <v>1009</v>
      </c>
      <c r="O51" t="s">
        <v>146</v>
      </c>
      <c r="P51" t="s">
        <v>146</v>
      </c>
      <c r="Q51">
        <v>1</v>
      </c>
      <c r="X51">
        <v>0.15</v>
      </c>
      <c r="Y51">
        <v>6.09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0.15</v>
      </c>
      <c r="AH51">
        <v>2</v>
      </c>
      <c r="AI51">
        <v>35944301</v>
      </c>
      <c r="AJ51">
        <v>55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ROW(Source!A45)</f>
        <v>45</v>
      </c>
      <c r="B52">
        <v>35944302</v>
      </c>
      <c r="C52">
        <v>35944297</v>
      </c>
      <c r="D52">
        <v>31438964</v>
      </c>
      <c r="E52">
        <v>1</v>
      </c>
      <c r="F52">
        <v>1</v>
      </c>
      <c r="G52">
        <v>1</v>
      </c>
      <c r="H52">
        <v>3</v>
      </c>
      <c r="I52" t="s">
        <v>378</v>
      </c>
      <c r="J52" t="s">
        <v>379</v>
      </c>
      <c r="K52" t="s">
        <v>380</v>
      </c>
      <c r="L52">
        <v>1308</v>
      </c>
      <c r="N52">
        <v>1003</v>
      </c>
      <c r="O52" t="s">
        <v>73</v>
      </c>
      <c r="P52" t="s">
        <v>73</v>
      </c>
      <c r="Q52">
        <v>100</v>
      </c>
      <c r="X52">
        <v>2.3999999999999998E-3</v>
      </c>
      <c r="Y52">
        <v>120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2.3999999999999998E-3</v>
      </c>
      <c r="AH52">
        <v>2</v>
      </c>
      <c r="AI52">
        <v>35944302</v>
      </c>
      <c r="AJ52">
        <v>56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ROW(Source!A45)</f>
        <v>45</v>
      </c>
      <c r="B53">
        <v>35944303</v>
      </c>
      <c r="C53">
        <v>35944297</v>
      </c>
      <c r="D53">
        <v>31435925</v>
      </c>
      <c r="E53">
        <v>17</v>
      </c>
      <c r="F53">
        <v>1</v>
      </c>
      <c r="G53">
        <v>1</v>
      </c>
      <c r="H53">
        <v>3</v>
      </c>
      <c r="I53" t="s">
        <v>369</v>
      </c>
      <c r="J53" t="s">
        <v>3</v>
      </c>
      <c r="K53" t="s">
        <v>370</v>
      </c>
      <c r="L53">
        <v>1374</v>
      </c>
      <c r="N53">
        <v>1013</v>
      </c>
      <c r="O53" t="s">
        <v>371</v>
      </c>
      <c r="P53" t="s">
        <v>371</v>
      </c>
      <c r="Q53">
        <v>1</v>
      </c>
      <c r="X53">
        <v>0.37</v>
      </c>
      <c r="Y53">
        <v>1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0.37</v>
      </c>
      <c r="AH53">
        <v>2</v>
      </c>
      <c r="AI53">
        <v>35944303</v>
      </c>
      <c r="AJ53">
        <v>57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ROW(Source!A47)</f>
        <v>47</v>
      </c>
      <c r="B54">
        <v>35944308</v>
      </c>
      <c r="C54">
        <v>35944307</v>
      </c>
      <c r="D54">
        <v>31709886</v>
      </c>
      <c r="E54">
        <v>1</v>
      </c>
      <c r="F54">
        <v>1</v>
      </c>
      <c r="G54">
        <v>1</v>
      </c>
      <c r="H54">
        <v>1</v>
      </c>
      <c r="I54" t="s">
        <v>367</v>
      </c>
      <c r="J54" t="s">
        <v>3</v>
      </c>
      <c r="K54" t="s">
        <v>368</v>
      </c>
      <c r="L54">
        <v>1191</v>
      </c>
      <c r="N54">
        <v>1013</v>
      </c>
      <c r="O54" t="s">
        <v>344</v>
      </c>
      <c r="P54" t="s">
        <v>344</v>
      </c>
      <c r="Q54">
        <v>1</v>
      </c>
      <c r="X54">
        <v>6.22</v>
      </c>
      <c r="Y54">
        <v>0</v>
      </c>
      <c r="Z54">
        <v>0</v>
      </c>
      <c r="AA54">
        <v>0</v>
      </c>
      <c r="AB54">
        <v>9.6199999999999992</v>
      </c>
      <c r="AC54">
        <v>0</v>
      </c>
      <c r="AD54">
        <v>1</v>
      </c>
      <c r="AE54">
        <v>1</v>
      </c>
      <c r="AF54" t="s">
        <v>40</v>
      </c>
      <c r="AG54">
        <v>7.4639999999999995</v>
      </c>
      <c r="AH54">
        <v>2</v>
      </c>
      <c r="AI54">
        <v>35944308</v>
      </c>
      <c r="AJ54">
        <v>59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ROW(Source!A47)</f>
        <v>47</v>
      </c>
      <c r="B55">
        <v>35944309</v>
      </c>
      <c r="C55">
        <v>35944307</v>
      </c>
      <c r="D55">
        <v>31703727</v>
      </c>
      <c r="E55">
        <v>1</v>
      </c>
      <c r="F55">
        <v>1</v>
      </c>
      <c r="G55">
        <v>1</v>
      </c>
      <c r="H55">
        <v>1</v>
      </c>
      <c r="I55" t="s">
        <v>345</v>
      </c>
      <c r="J55" t="s">
        <v>3</v>
      </c>
      <c r="K55" t="s">
        <v>346</v>
      </c>
      <c r="L55">
        <v>1191</v>
      </c>
      <c r="N55">
        <v>1013</v>
      </c>
      <c r="O55" t="s">
        <v>344</v>
      </c>
      <c r="P55" t="s">
        <v>344</v>
      </c>
      <c r="Q55">
        <v>1</v>
      </c>
      <c r="X55">
        <v>0.02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2</v>
      </c>
      <c r="AF55" t="s">
        <v>40</v>
      </c>
      <c r="AG55">
        <v>2.4E-2</v>
      </c>
      <c r="AH55">
        <v>2</v>
      </c>
      <c r="AI55">
        <v>35944309</v>
      </c>
      <c r="AJ55">
        <v>60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ROW(Source!A47)</f>
        <v>47</v>
      </c>
      <c r="B56">
        <v>35944310</v>
      </c>
      <c r="C56">
        <v>35944307</v>
      </c>
      <c r="D56">
        <v>31519244</v>
      </c>
      <c r="E56">
        <v>1</v>
      </c>
      <c r="F56">
        <v>1</v>
      </c>
      <c r="G56">
        <v>1</v>
      </c>
      <c r="H56">
        <v>2</v>
      </c>
      <c r="I56" t="s">
        <v>351</v>
      </c>
      <c r="J56" t="s">
        <v>352</v>
      </c>
      <c r="K56" t="s">
        <v>353</v>
      </c>
      <c r="L56">
        <v>1368</v>
      </c>
      <c r="N56">
        <v>1011</v>
      </c>
      <c r="O56" t="s">
        <v>350</v>
      </c>
      <c r="P56" t="s">
        <v>350</v>
      </c>
      <c r="Q56">
        <v>1</v>
      </c>
      <c r="X56">
        <v>0.01</v>
      </c>
      <c r="Y56">
        <v>0</v>
      </c>
      <c r="Z56">
        <v>111.99</v>
      </c>
      <c r="AA56">
        <v>13.5</v>
      </c>
      <c r="AB56">
        <v>0</v>
      </c>
      <c r="AC56">
        <v>0</v>
      </c>
      <c r="AD56">
        <v>1</v>
      </c>
      <c r="AE56">
        <v>0</v>
      </c>
      <c r="AF56" t="s">
        <v>40</v>
      </c>
      <c r="AG56">
        <v>1.2E-2</v>
      </c>
      <c r="AH56">
        <v>2</v>
      </c>
      <c r="AI56">
        <v>35944310</v>
      </c>
      <c r="AJ56">
        <v>61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ROW(Source!A47)</f>
        <v>47</v>
      </c>
      <c r="B57">
        <v>35944311</v>
      </c>
      <c r="C57">
        <v>35944307</v>
      </c>
      <c r="D57">
        <v>31520646</v>
      </c>
      <c r="E57">
        <v>1</v>
      </c>
      <c r="F57">
        <v>1</v>
      </c>
      <c r="G57">
        <v>1</v>
      </c>
      <c r="H57">
        <v>2</v>
      </c>
      <c r="I57" t="s">
        <v>362</v>
      </c>
      <c r="J57" t="s">
        <v>363</v>
      </c>
      <c r="K57" t="s">
        <v>364</v>
      </c>
      <c r="L57">
        <v>1368</v>
      </c>
      <c r="N57">
        <v>1011</v>
      </c>
      <c r="O57" t="s">
        <v>350</v>
      </c>
      <c r="P57" t="s">
        <v>350</v>
      </c>
      <c r="Q57">
        <v>1</v>
      </c>
      <c r="X57">
        <v>0.01</v>
      </c>
      <c r="Y57">
        <v>0</v>
      </c>
      <c r="Z57">
        <v>65.709999999999994</v>
      </c>
      <c r="AA57">
        <v>11.6</v>
      </c>
      <c r="AB57">
        <v>0</v>
      </c>
      <c r="AC57">
        <v>0</v>
      </c>
      <c r="AD57">
        <v>1</v>
      </c>
      <c r="AE57">
        <v>0</v>
      </c>
      <c r="AF57" t="s">
        <v>40</v>
      </c>
      <c r="AG57">
        <v>1.2E-2</v>
      </c>
      <c r="AH57">
        <v>2</v>
      </c>
      <c r="AI57">
        <v>35944311</v>
      </c>
      <c r="AJ57">
        <v>62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ROW(Source!A47)</f>
        <v>47</v>
      </c>
      <c r="B58">
        <v>35944312</v>
      </c>
      <c r="C58">
        <v>35944307</v>
      </c>
      <c r="D58">
        <v>31436888</v>
      </c>
      <c r="E58">
        <v>1</v>
      </c>
      <c r="F58">
        <v>1</v>
      </c>
      <c r="G58">
        <v>1</v>
      </c>
      <c r="H58">
        <v>3</v>
      </c>
      <c r="I58" t="s">
        <v>402</v>
      </c>
      <c r="J58" t="s">
        <v>403</v>
      </c>
      <c r="K58" t="s">
        <v>404</v>
      </c>
      <c r="L58">
        <v>1348</v>
      </c>
      <c r="N58">
        <v>1009</v>
      </c>
      <c r="O58" t="s">
        <v>384</v>
      </c>
      <c r="P58" t="s">
        <v>384</v>
      </c>
      <c r="Q58">
        <v>1000</v>
      </c>
      <c r="X58">
        <v>8.0000000000000004E-4</v>
      </c>
      <c r="Y58">
        <v>4488.3999999999996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8.0000000000000004E-4</v>
      </c>
      <c r="AH58">
        <v>2</v>
      </c>
      <c r="AI58">
        <v>35944312</v>
      </c>
      <c r="AJ58">
        <v>63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ROW(Source!A47)</f>
        <v>47</v>
      </c>
      <c r="B59">
        <v>35944313</v>
      </c>
      <c r="C59">
        <v>35944307</v>
      </c>
      <c r="D59">
        <v>31436924</v>
      </c>
      <c r="E59">
        <v>1</v>
      </c>
      <c r="F59">
        <v>1</v>
      </c>
      <c r="G59">
        <v>1</v>
      </c>
      <c r="H59">
        <v>3</v>
      </c>
      <c r="I59" t="s">
        <v>405</v>
      </c>
      <c r="J59" t="s">
        <v>406</v>
      </c>
      <c r="K59" t="s">
        <v>407</v>
      </c>
      <c r="L59">
        <v>1348</v>
      </c>
      <c r="N59">
        <v>1009</v>
      </c>
      <c r="O59" t="s">
        <v>384</v>
      </c>
      <c r="P59" t="s">
        <v>384</v>
      </c>
      <c r="Q59">
        <v>1000</v>
      </c>
      <c r="X59">
        <v>2.0000000000000002E-5</v>
      </c>
      <c r="Y59">
        <v>8105.71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2.0000000000000002E-5</v>
      </c>
      <c r="AH59">
        <v>2</v>
      </c>
      <c r="AI59">
        <v>35944313</v>
      </c>
      <c r="AJ59">
        <v>64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ROW(Source!A47)</f>
        <v>47</v>
      </c>
      <c r="B60">
        <v>35944314</v>
      </c>
      <c r="C60">
        <v>35944307</v>
      </c>
      <c r="D60">
        <v>31438964</v>
      </c>
      <c r="E60">
        <v>1</v>
      </c>
      <c r="F60">
        <v>1</v>
      </c>
      <c r="G60">
        <v>1</v>
      </c>
      <c r="H60">
        <v>3</v>
      </c>
      <c r="I60" t="s">
        <v>378</v>
      </c>
      <c r="J60" t="s">
        <v>379</v>
      </c>
      <c r="K60" t="s">
        <v>380</v>
      </c>
      <c r="L60">
        <v>1308</v>
      </c>
      <c r="N60">
        <v>1003</v>
      </c>
      <c r="O60" t="s">
        <v>73</v>
      </c>
      <c r="P60" t="s">
        <v>73</v>
      </c>
      <c r="Q60">
        <v>100</v>
      </c>
      <c r="X60">
        <v>2.3999999999999998E-3</v>
      </c>
      <c r="Y60">
        <v>120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3</v>
      </c>
      <c r="AG60">
        <v>2.3999999999999998E-3</v>
      </c>
      <c r="AH60">
        <v>2</v>
      </c>
      <c r="AI60">
        <v>35944314</v>
      </c>
      <c r="AJ60">
        <v>65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ROW(Source!A47)</f>
        <v>47</v>
      </c>
      <c r="B61">
        <v>35944315</v>
      </c>
      <c r="C61">
        <v>35944307</v>
      </c>
      <c r="D61">
        <v>31488994</v>
      </c>
      <c r="E61">
        <v>1</v>
      </c>
      <c r="F61">
        <v>1</v>
      </c>
      <c r="G61">
        <v>1</v>
      </c>
      <c r="H61">
        <v>3</v>
      </c>
      <c r="I61" t="s">
        <v>411</v>
      </c>
      <c r="J61" t="s">
        <v>412</v>
      </c>
      <c r="K61" t="s">
        <v>413</v>
      </c>
      <c r="L61">
        <v>1355</v>
      </c>
      <c r="N61">
        <v>1010</v>
      </c>
      <c r="O61" t="s">
        <v>414</v>
      </c>
      <c r="P61" t="s">
        <v>414</v>
      </c>
      <c r="Q61">
        <v>100</v>
      </c>
      <c r="X61">
        <v>3.1E-2</v>
      </c>
      <c r="Y61">
        <v>491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3</v>
      </c>
      <c r="AG61">
        <v>3.1E-2</v>
      </c>
      <c r="AH61">
        <v>2</v>
      </c>
      <c r="AI61">
        <v>35944315</v>
      </c>
      <c r="AJ61">
        <v>66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ROW(Source!A47)</f>
        <v>47</v>
      </c>
      <c r="B62">
        <v>35944316</v>
      </c>
      <c r="C62">
        <v>35944307</v>
      </c>
      <c r="D62">
        <v>31435925</v>
      </c>
      <c r="E62">
        <v>17</v>
      </c>
      <c r="F62">
        <v>1</v>
      </c>
      <c r="G62">
        <v>1</v>
      </c>
      <c r="H62">
        <v>3</v>
      </c>
      <c r="I62" t="s">
        <v>369</v>
      </c>
      <c r="J62" t="s">
        <v>3</v>
      </c>
      <c r="K62" t="s">
        <v>370</v>
      </c>
      <c r="L62">
        <v>1374</v>
      </c>
      <c r="N62">
        <v>1013</v>
      </c>
      <c r="O62" t="s">
        <v>371</v>
      </c>
      <c r="P62" t="s">
        <v>371</v>
      </c>
      <c r="Q62">
        <v>1</v>
      </c>
      <c r="X62">
        <v>1.2</v>
      </c>
      <c r="Y62">
        <v>1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3</v>
      </c>
      <c r="AG62">
        <v>1.2</v>
      </c>
      <c r="AH62">
        <v>2</v>
      </c>
      <c r="AI62">
        <v>35944316</v>
      </c>
      <c r="AJ62">
        <v>67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ROW(Source!A49)</f>
        <v>49</v>
      </c>
      <c r="B63">
        <v>35892112</v>
      </c>
      <c r="C63">
        <v>35892109</v>
      </c>
      <c r="D63">
        <v>31709886</v>
      </c>
      <c r="E63">
        <v>1</v>
      </c>
      <c r="F63">
        <v>1</v>
      </c>
      <c r="G63">
        <v>1</v>
      </c>
      <c r="H63">
        <v>1</v>
      </c>
      <c r="I63" t="s">
        <v>367</v>
      </c>
      <c r="J63" t="s">
        <v>3</v>
      </c>
      <c r="K63" t="s">
        <v>368</v>
      </c>
      <c r="L63">
        <v>1191</v>
      </c>
      <c r="N63">
        <v>1013</v>
      </c>
      <c r="O63" t="s">
        <v>344</v>
      </c>
      <c r="P63" t="s">
        <v>344</v>
      </c>
      <c r="Q63">
        <v>1</v>
      </c>
      <c r="X63">
        <v>15.12</v>
      </c>
      <c r="Y63">
        <v>0</v>
      </c>
      <c r="Z63">
        <v>0</v>
      </c>
      <c r="AA63">
        <v>0</v>
      </c>
      <c r="AB63">
        <v>9.6199999999999992</v>
      </c>
      <c r="AC63">
        <v>0</v>
      </c>
      <c r="AD63">
        <v>1</v>
      </c>
      <c r="AE63">
        <v>1</v>
      </c>
      <c r="AF63" t="s">
        <v>40</v>
      </c>
      <c r="AG63">
        <v>18.143999999999998</v>
      </c>
      <c r="AH63">
        <v>2</v>
      </c>
      <c r="AI63">
        <v>35892110</v>
      </c>
      <c r="AJ63">
        <v>69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ROW(Source!A49)</f>
        <v>49</v>
      </c>
      <c r="B64">
        <v>35892113</v>
      </c>
      <c r="C64">
        <v>35892109</v>
      </c>
      <c r="D64">
        <v>31435925</v>
      </c>
      <c r="E64">
        <v>17</v>
      </c>
      <c r="F64">
        <v>1</v>
      </c>
      <c r="G64">
        <v>1</v>
      </c>
      <c r="H64">
        <v>3</v>
      </c>
      <c r="I64" t="s">
        <v>369</v>
      </c>
      <c r="J64" t="s">
        <v>3</v>
      </c>
      <c r="K64" t="s">
        <v>370</v>
      </c>
      <c r="L64">
        <v>1374</v>
      </c>
      <c r="N64">
        <v>1013</v>
      </c>
      <c r="O64" t="s">
        <v>371</v>
      </c>
      <c r="P64" t="s">
        <v>371</v>
      </c>
      <c r="Q64">
        <v>1</v>
      </c>
      <c r="X64">
        <v>2.91</v>
      </c>
      <c r="Y64">
        <v>1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2.91</v>
      </c>
      <c r="AH64">
        <v>2</v>
      </c>
      <c r="AI64">
        <v>35892111</v>
      </c>
      <c r="AJ64">
        <v>70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ROW(Source!A50)</f>
        <v>50</v>
      </c>
      <c r="B65">
        <v>35892116</v>
      </c>
      <c r="C65">
        <v>35892114</v>
      </c>
      <c r="D65">
        <v>31710352</v>
      </c>
      <c r="E65">
        <v>1</v>
      </c>
      <c r="F65">
        <v>1</v>
      </c>
      <c r="G65">
        <v>1</v>
      </c>
      <c r="H65">
        <v>1</v>
      </c>
      <c r="I65" t="s">
        <v>394</v>
      </c>
      <c r="J65" t="s">
        <v>3</v>
      </c>
      <c r="K65" t="s">
        <v>395</v>
      </c>
      <c r="L65">
        <v>1191</v>
      </c>
      <c r="N65">
        <v>1013</v>
      </c>
      <c r="O65" t="s">
        <v>344</v>
      </c>
      <c r="P65" t="s">
        <v>344</v>
      </c>
      <c r="Q65">
        <v>1</v>
      </c>
      <c r="X65">
        <v>97.2</v>
      </c>
      <c r="Y65">
        <v>0</v>
      </c>
      <c r="Z65">
        <v>0</v>
      </c>
      <c r="AA65">
        <v>0</v>
      </c>
      <c r="AB65">
        <v>7.5</v>
      </c>
      <c r="AC65">
        <v>0</v>
      </c>
      <c r="AD65">
        <v>1</v>
      </c>
      <c r="AE65">
        <v>1</v>
      </c>
      <c r="AF65" t="s">
        <v>40</v>
      </c>
      <c r="AG65">
        <v>116.64</v>
      </c>
      <c r="AH65">
        <v>2</v>
      </c>
      <c r="AI65">
        <v>35892115</v>
      </c>
      <c r="AJ65">
        <v>71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ROW(Source!A51)</f>
        <v>51</v>
      </c>
      <c r="B66">
        <v>36049416</v>
      </c>
      <c r="C66">
        <v>36049415</v>
      </c>
      <c r="D66">
        <v>31706971</v>
      </c>
      <c r="E66">
        <v>1</v>
      </c>
      <c r="F66">
        <v>1</v>
      </c>
      <c r="G66">
        <v>1</v>
      </c>
      <c r="H66">
        <v>1</v>
      </c>
      <c r="I66" t="s">
        <v>415</v>
      </c>
      <c r="J66" t="s">
        <v>3</v>
      </c>
      <c r="K66" t="s">
        <v>416</v>
      </c>
      <c r="L66">
        <v>1191</v>
      </c>
      <c r="N66">
        <v>1013</v>
      </c>
      <c r="O66" t="s">
        <v>344</v>
      </c>
      <c r="P66" t="s">
        <v>344</v>
      </c>
      <c r="Q66">
        <v>1</v>
      </c>
      <c r="X66">
        <v>40</v>
      </c>
      <c r="Y66">
        <v>0</v>
      </c>
      <c r="Z66">
        <v>0</v>
      </c>
      <c r="AA66">
        <v>0</v>
      </c>
      <c r="AB66">
        <v>7.94</v>
      </c>
      <c r="AC66">
        <v>0</v>
      </c>
      <c r="AD66">
        <v>1</v>
      </c>
      <c r="AE66">
        <v>1</v>
      </c>
      <c r="AF66" t="s">
        <v>40</v>
      </c>
      <c r="AG66">
        <v>48</v>
      </c>
      <c r="AH66">
        <v>2</v>
      </c>
      <c r="AI66">
        <v>36049416</v>
      </c>
      <c r="AJ66">
        <v>72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ROW(Source!A51)</f>
        <v>51</v>
      </c>
      <c r="B67">
        <v>36049417</v>
      </c>
      <c r="C67">
        <v>36049415</v>
      </c>
      <c r="D67">
        <v>31477053</v>
      </c>
      <c r="E67">
        <v>1</v>
      </c>
      <c r="F67">
        <v>1</v>
      </c>
      <c r="G67">
        <v>1</v>
      </c>
      <c r="H67">
        <v>3</v>
      </c>
      <c r="I67" t="s">
        <v>417</v>
      </c>
      <c r="J67" t="s">
        <v>418</v>
      </c>
      <c r="K67" t="s">
        <v>419</v>
      </c>
      <c r="L67">
        <v>1339</v>
      </c>
      <c r="N67">
        <v>1007</v>
      </c>
      <c r="O67" t="s">
        <v>50</v>
      </c>
      <c r="P67" t="s">
        <v>50</v>
      </c>
      <c r="Q67">
        <v>1</v>
      </c>
      <c r="X67">
        <v>15</v>
      </c>
      <c r="Y67">
        <v>131.9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15</v>
      </c>
      <c r="AH67">
        <v>2</v>
      </c>
      <c r="AI67">
        <v>36049417</v>
      </c>
      <c r="AJ67">
        <v>73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ROW(Source!A52)</f>
        <v>52</v>
      </c>
      <c r="B68">
        <v>35892134</v>
      </c>
      <c r="C68">
        <v>35892128</v>
      </c>
      <c r="D68">
        <v>31705589</v>
      </c>
      <c r="E68">
        <v>1</v>
      </c>
      <c r="F68">
        <v>1</v>
      </c>
      <c r="G68">
        <v>1</v>
      </c>
      <c r="H68">
        <v>1</v>
      </c>
      <c r="I68" t="s">
        <v>420</v>
      </c>
      <c r="J68" t="s">
        <v>3</v>
      </c>
      <c r="K68" t="s">
        <v>421</v>
      </c>
      <c r="L68">
        <v>1191</v>
      </c>
      <c r="N68">
        <v>1013</v>
      </c>
      <c r="O68" t="s">
        <v>344</v>
      </c>
      <c r="P68" t="s">
        <v>344</v>
      </c>
      <c r="Q68">
        <v>1</v>
      </c>
      <c r="X68">
        <v>5.99</v>
      </c>
      <c r="Y68">
        <v>0</v>
      </c>
      <c r="Z68">
        <v>0</v>
      </c>
      <c r="AA68">
        <v>0</v>
      </c>
      <c r="AB68">
        <v>8.4600000000000009</v>
      </c>
      <c r="AC68">
        <v>0</v>
      </c>
      <c r="AD68">
        <v>1</v>
      </c>
      <c r="AE68">
        <v>1</v>
      </c>
      <c r="AF68" t="s">
        <v>40</v>
      </c>
      <c r="AG68">
        <v>7.1879999999999997</v>
      </c>
      <c r="AH68">
        <v>2</v>
      </c>
      <c r="AI68">
        <v>35892129</v>
      </c>
      <c r="AJ68">
        <v>74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ROW(Source!A52)</f>
        <v>52</v>
      </c>
      <c r="B69">
        <v>35892135</v>
      </c>
      <c r="C69">
        <v>35892128</v>
      </c>
      <c r="D69">
        <v>31703727</v>
      </c>
      <c r="E69">
        <v>1</v>
      </c>
      <c r="F69">
        <v>1</v>
      </c>
      <c r="G69">
        <v>1</v>
      </c>
      <c r="H69">
        <v>1</v>
      </c>
      <c r="I69" t="s">
        <v>345</v>
      </c>
      <c r="J69" t="s">
        <v>3</v>
      </c>
      <c r="K69" t="s">
        <v>346</v>
      </c>
      <c r="L69">
        <v>1191</v>
      </c>
      <c r="N69">
        <v>1013</v>
      </c>
      <c r="O69" t="s">
        <v>344</v>
      </c>
      <c r="P69" t="s">
        <v>344</v>
      </c>
      <c r="Q69">
        <v>1</v>
      </c>
      <c r="X69">
        <v>2.74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2</v>
      </c>
      <c r="AF69" t="s">
        <v>40</v>
      </c>
      <c r="AG69">
        <v>3.2880000000000003</v>
      </c>
      <c r="AH69">
        <v>2</v>
      </c>
      <c r="AI69">
        <v>35892130</v>
      </c>
      <c r="AJ69">
        <v>75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ROW(Source!A52)</f>
        <v>52</v>
      </c>
      <c r="B70">
        <v>35892136</v>
      </c>
      <c r="C70">
        <v>35892128</v>
      </c>
      <c r="D70">
        <v>31520575</v>
      </c>
      <c r="E70">
        <v>1</v>
      </c>
      <c r="F70">
        <v>1</v>
      </c>
      <c r="G70">
        <v>1</v>
      </c>
      <c r="H70">
        <v>2</v>
      </c>
      <c r="I70" t="s">
        <v>359</v>
      </c>
      <c r="J70" t="s">
        <v>360</v>
      </c>
      <c r="K70" t="s">
        <v>361</v>
      </c>
      <c r="L70">
        <v>1368</v>
      </c>
      <c r="N70">
        <v>1011</v>
      </c>
      <c r="O70" t="s">
        <v>350</v>
      </c>
      <c r="P70" t="s">
        <v>350</v>
      </c>
      <c r="Q70">
        <v>1</v>
      </c>
      <c r="X70">
        <v>2.74</v>
      </c>
      <c r="Y70">
        <v>0</v>
      </c>
      <c r="Z70">
        <v>110</v>
      </c>
      <c r="AA70">
        <v>11.6</v>
      </c>
      <c r="AB70">
        <v>0</v>
      </c>
      <c r="AC70">
        <v>0</v>
      </c>
      <c r="AD70">
        <v>1</v>
      </c>
      <c r="AE70">
        <v>0</v>
      </c>
      <c r="AF70" t="s">
        <v>40</v>
      </c>
      <c r="AG70">
        <v>3.2880000000000003</v>
      </c>
      <c r="AH70">
        <v>2</v>
      </c>
      <c r="AI70">
        <v>35892131</v>
      </c>
      <c r="AJ70">
        <v>76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ROW(Source!A52)</f>
        <v>52</v>
      </c>
      <c r="B71">
        <v>35892137</v>
      </c>
      <c r="C71">
        <v>35892128</v>
      </c>
      <c r="D71">
        <v>31438650</v>
      </c>
      <c r="E71">
        <v>1</v>
      </c>
      <c r="F71">
        <v>1</v>
      </c>
      <c r="G71">
        <v>1</v>
      </c>
      <c r="H71">
        <v>3</v>
      </c>
      <c r="I71" t="s">
        <v>422</v>
      </c>
      <c r="J71" t="s">
        <v>423</v>
      </c>
      <c r="K71" t="s">
        <v>424</v>
      </c>
      <c r="L71">
        <v>1339</v>
      </c>
      <c r="N71">
        <v>1007</v>
      </c>
      <c r="O71" t="s">
        <v>50</v>
      </c>
      <c r="P71" t="s">
        <v>50</v>
      </c>
      <c r="Q71">
        <v>1</v>
      </c>
      <c r="X71">
        <v>10</v>
      </c>
      <c r="Y71">
        <v>2.44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3</v>
      </c>
      <c r="AG71">
        <v>10</v>
      </c>
      <c r="AH71">
        <v>2</v>
      </c>
      <c r="AI71">
        <v>35892132</v>
      </c>
      <c r="AJ71">
        <v>77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ROW(Source!A52)</f>
        <v>52</v>
      </c>
      <c r="B72">
        <v>35892138</v>
      </c>
      <c r="C72">
        <v>35892128</v>
      </c>
      <c r="D72">
        <v>31433029</v>
      </c>
      <c r="E72">
        <v>17</v>
      </c>
      <c r="F72">
        <v>1</v>
      </c>
      <c r="G72">
        <v>1</v>
      </c>
      <c r="H72">
        <v>3</v>
      </c>
      <c r="I72" t="s">
        <v>459</v>
      </c>
      <c r="J72" t="s">
        <v>3</v>
      </c>
      <c r="K72" t="s">
        <v>460</v>
      </c>
      <c r="L72">
        <v>1346</v>
      </c>
      <c r="N72">
        <v>1009</v>
      </c>
      <c r="O72" t="s">
        <v>146</v>
      </c>
      <c r="P72" t="s">
        <v>146</v>
      </c>
      <c r="Q72">
        <v>1</v>
      </c>
      <c r="X72">
        <v>2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 t="s">
        <v>3</v>
      </c>
      <c r="AG72">
        <v>2</v>
      </c>
      <c r="AH72">
        <v>3</v>
      </c>
      <c r="AI72">
        <v>-1</v>
      </c>
      <c r="AJ72" t="s">
        <v>3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ROW(Source!A92)</f>
        <v>92</v>
      </c>
      <c r="B73">
        <v>35892202</v>
      </c>
      <c r="C73">
        <v>35892191</v>
      </c>
      <c r="D73">
        <v>31719628</v>
      </c>
      <c r="E73">
        <v>1</v>
      </c>
      <c r="F73">
        <v>1</v>
      </c>
      <c r="G73">
        <v>1</v>
      </c>
      <c r="H73">
        <v>1</v>
      </c>
      <c r="I73" t="s">
        <v>425</v>
      </c>
      <c r="J73" t="s">
        <v>3</v>
      </c>
      <c r="K73" t="s">
        <v>426</v>
      </c>
      <c r="L73">
        <v>1191</v>
      </c>
      <c r="N73">
        <v>1013</v>
      </c>
      <c r="O73" t="s">
        <v>344</v>
      </c>
      <c r="P73" t="s">
        <v>344</v>
      </c>
      <c r="Q73">
        <v>1</v>
      </c>
      <c r="X73">
        <v>4.66</v>
      </c>
      <c r="Y73">
        <v>0</v>
      </c>
      <c r="Z73">
        <v>0</v>
      </c>
      <c r="AA73">
        <v>0</v>
      </c>
      <c r="AB73">
        <v>9.92</v>
      </c>
      <c r="AC73">
        <v>0</v>
      </c>
      <c r="AD73">
        <v>1</v>
      </c>
      <c r="AE73">
        <v>1</v>
      </c>
      <c r="AF73" t="s">
        <v>223</v>
      </c>
      <c r="AG73">
        <v>3.9143999999999997</v>
      </c>
      <c r="AH73">
        <v>2</v>
      </c>
      <c r="AI73">
        <v>35892192</v>
      </c>
      <c r="AJ73">
        <v>79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ROW(Source!A92)</f>
        <v>92</v>
      </c>
      <c r="B74">
        <v>35892203</v>
      </c>
      <c r="C74">
        <v>35892191</v>
      </c>
      <c r="D74">
        <v>31703727</v>
      </c>
      <c r="E74">
        <v>1</v>
      </c>
      <c r="F74">
        <v>1</v>
      </c>
      <c r="G74">
        <v>1</v>
      </c>
      <c r="H74">
        <v>1</v>
      </c>
      <c r="I74" t="s">
        <v>345</v>
      </c>
      <c r="J74" t="s">
        <v>3</v>
      </c>
      <c r="K74" t="s">
        <v>346</v>
      </c>
      <c r="L74">
        <v>1191</v>
      </c>
      <c r="N74">
        <v>1013</v>
      </c>
      <c r="O74" t="s">
        <v>344</v>
      </c>
      <c r="P74" t="s">
        <v>344</v>
      </c>
      <c r="Q74">
        <v>1</v>
      </c>
      <c r="X74">
        <v>0.82</v>
      </c>
      <c r="Y74">
        <v>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2</v>
      </c>
      <c r="AF74" t="s">
        <v>223</v>
      </c>
      <c r="AG74">
        <v>0.68879999999999997</v>
      </c>
      <c r="AH74">
        <v>2</v>
      </c>
      <c r="AI74">
        <v>35892193</v>
      </c>
      <c r="AJ74">
        <v>80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ROW(Source!A92)</f>
        <v>92</v>
      </c>
      <c r="B75">
        <v>35892204</v>
      </c>
      <c r="C75">
        <v>35892191</v>
      </c>
      <c r="D75">
        <v>31519244</v>
      </c>
      <c r="E75">
        <v>1</v>
      </c>
      <c r="F75">
        <v>1</v>
      </c>
      <c r="G75">
        <v>1</v>
      </c>
      <c r="H75">
        <v>2</v>
      </c>
      <c r="I75" t="s">
        <v>351</v>
      </c>
      <c r="J75" t="s">
        <v>352</v>
      </c>
      <c r="K75" t="s">
        <v>353</v>
      </c>
      <c r="L75">
        <v>1368</v>
      </c>
      <c r="N75">
        <v>1011</v>
      </c>
      <c r="O75" t="s">
        <v>350</v>
      </c>
      <c r="P75" t="s">
        <v>350</v>
      </c>
      <c r="Q75">
        <v>1</v>
      </c>
      <c r="X75">
        <v>0.41</v>
      </c>
      <c r="Y75">
        <v>0</v>
      </c>
      <c r="Z75">
        <v>111.99</v>
      </c>
      <c r="AA75">
        <v>13.5</v>
      </c>
      <c r="AB75">
        <v>0</v>
      </c>
      <c r="AC75">
        <v>0</v>
      </c>
      <c r="AD75">
        <v>1</v>
      </c>
      <c r="AE75">
        <v>0</v>
      </c>
      <c r="AF75" t="s">
        <v>223</v>
      </c>
      <c r="AG75">
        <v>0.34439999999999998</v>
      </c>
      <c r="AH75">
        <v>2</v>
      </c>
      <c r="AI75">
        <v>35892194</v>
      </c>
      <c r="AJ75">
        <v>81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ROW(Source!A92)</f>
        <v>92</v>
      </c>
      <c r="B76">
        <v>35892205</v>
      </c>
      <c r="C76">
        <v>35892191</v>
      </c>
      <c r="D76">
        <v>31520646</v>
      </c>
      <c r="E76">
        <v>1</v>
      </c>
      <c r="F76">
        <v>1</v>
      </c>
      <c r="G76">
        <v>1</v>
      </c>
      <c r="H76">
        <v>2</v>
      </c>
      <c r="I76" t="s">
        <v>362</v>
      </c>
      <c r="J76" t="s">
        <v>363</v>
      </c>
      <c r="K76" t="s">
        <v>364</v>
      </c>
      <c r="L76">
        <v>1368</v>
      </c>
      <c r="N76">
        <v>1011</v>
      </c>
      <c r="O76" t="s">
        <v>350</v>
      </c>
      <c r="P76" t="s">
        <v>350</v>
      </c>
      <c r="Q76">
        <v>1</v>
      </c>
      <c r="X76">
        <v>0.41</v>
      </c>
      <c r="Y76">
        <v>0</v>
      </c>
      <c r="Z76">
        <v>65.709999999999994</v>
      </c>
      <c r="AA76">
        <v>11.6</v>
      </c>
      <c r="AB76">
        <v>0</v>
      </c>
      <c r="AC76">
        <v>0</v>
      </c>
      <c r="AD76">
        <v>1</v>
      </c>
      <c r="AE76">
        <v>0</v>
      </c>
      <c r="AF76" t="s">
        <v>223</v>
      </c>
      <c r="AG76">
        <v>0.34439999999999998</v>
      </c>
      <c r="AH76">
        <v>2</v>
      </c>
      <c r="AI76">
        <v>35892195</v>
      </c>
      <c r="AJ76">
        <v>82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ROW(Source!A92)</f>
        <v>92</v>
      </c>
      <c r="B77">
        <v>35892206</v>
      </c>
      <c r="C77">
        <v>35892191</v>
      </c>
      <c r="D77">
        <v>31520988</v>
      </c>
      <c r="E77">
        <v>1</v>
      </c>
      <c r="F77">
        <v>1</v>
      </c>
      <c r="G77">
        <v>1</v>
      </c>
      <c r="H77">
        <v>2</v>
      </c>
      <c r="I77" t="s">
        <v>427</v>
      </c>
      <c r="J77" t="s">
        <v>428</v>
      </c>
      <c r="K77" t="s">
        <v>429</v>
      </c>
      <c r="L77">
        <v>1368</v>
      </c>
      <c r="N77">
        <v>1011</v>
      </c>
      <c r="O77" t="s">
        <v>350</v>
      </c>
      <c r="P77" t="s">
        <v>350</v>
      </c>
      <c r="Q77">
        <v>1</v>
      </c>
      <c r="X77">
        <v>1.04</v>
      </c>
      <c r="Y77">
        <v>0</v>
      </c>
      <c r="Z77">
        <v>8.1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223</v>
      </c>
      <c r="AG77">
        <v>0.87359999999999993</v>
      </c>
      <c r="AH77">
        <v>2</v>
      </c>
      <c r="AI77">
        <v>35892196</v>
      </c>
      <c r="AJ77">
        <v>83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ROW(Source!A92)</f>
        <v>92</v>
      </c>
      <c r="B78">
        <v>35892207</v>
      </c>
      <c r="C78">
        <v>35892191</v>
      </c>
      <c r="D78">
        <v>31440116</v>
      </c>
      <c r="E78">
        <v>1</v>
      </c>
      <c r="F78">
        <v>1</v>
      </c>
      <c r="G78">
        <v>1</v>
      </c>
      <c r="H78">
        <v>3</v>
      </c>
      <c r="I78" t="s">
        <v>430</v>
      </c>
      <c r="J78" t="s">
        <v>431</v>
      </c>
      <c r="K78" t="s">
        <v>432</v>
      </c>
      <c r="L78">
        <v>1346</v>
      </c>
      <c r="N78">
        <v>1009</v>
      </c>
      <c r="O78" t="s">
        <v>146</v>
      </c>
      <c r="P78" t="s">
        <v>146</v>
      </c>
      <c r="Q78">
        <v>1</v>
      </c>
      <c r="X78">
        <v>0.3</v>
      </c>
      <c r="Y78">
        <v>10.57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222</v>
      </c>
      <c r="AG78">
        <v>0</v>
      </c>
      <c r="AH78">
        <v>2</v>
      </c>
      <c r="AI78">
        <v>35892197</v>
      </c>
      <c r="AJ78">
        <v>84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ROW(Source!A92)</f>
        <v>92</v>
      </c>
      <c r="B79">
        <v>35892208</v>
      </c>
      <c r="C79">
        <v>35892191</v>
      </c>
      <c r="D79">
        <v>31441306</v>
      </c>
      <c r="E79">
        <v>1</v>
      </c>
      <c r="F79">
        <v>1</v>
      </c>
      <c r="G79">
        <v>1</v>
      </c>
      <c r="H79">
        <v>3</v>
      </c>
      <c r="I79" t="s">
        <v>433</v>
      </c>
      <c r="J79" t="s">
        <v>434</v>
      </c>
      <c r="K79" t="s">
        <v>435</v>
      </c>
      <c r="L79">
        <v>1346</v>
      </c>
      <c r="N79">
        <v>1009</v>
      </c>
      <c r="O79" t="s">
        <v>146</v>
      </c>
      <c r="P79" t="s">
        <v>146</v>
      </c>
      <c r="Q79">
        <v>1</v>
      </c>
      <c r="X79">
        <v>0.06</v>
      </c>
      <c r="Y79">
        <v>9.0399999999999991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222</v>
      </c>
      <c r="AG79">
        <v>0</v>
      </c>
      <c r="AH79">
        <v>2</v>
      </c>
      <c r="AI79">
        <v>35892198</v>
      </c>
      <c r="AJ79">
        <v>85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ROW(Source!A92)</f>
        <v>92</v>
      </c>
      <c r="B80">
        <v>35892209</v>
      </c>
      <c r="C80">
        <v>35892191</v>
      </c>
      <c r="D80">
        <v>31460021</v>
      </c>
      <c r="E80">
        <v>1</v>
      </c>
      <c r="F80">
        <v>1</v>
      </c>
      <c r="G80">
        <v>1</v>
      </c>
      <c r="H80">
        <v>3</v>
      </c>
      <c r="I80" t="s">
        <v>436</v>
      </c>
      <c r="J80" t="s">
        <v>437</v>
      </c>
      <c r="K80" t="s">
        <v>438</v>
      </c>
      <c r="L80">
        <v>1348</v>
      </c>
      <c r="N80">
        <v>1009</v>
      </c>
      <c r="O80" t="s">
        <v>384</v>
      </c>
      <c r="P80" t="s">
        <v>384</v>
      </c>
      <c r="Q80">
        <v>1000</v>
      </c>
      <c r="X80">
        <v>0.03</v>
      </c>
      <c r="Y80">
        <v>11500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222</v>
      </c>
      <c r="AG80">
        <v>0</v>
      </c>
      <c r="AH80">
        <v>2</v>
      </c>
      <c r="AI80">
        <v>35892199</v>
      </c>
      <c r="AJ80">
        <v>86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ROW(Source!A92)</f>
        <v>92</v>
      </c>
      <c r="B81">
        <v>35892210</v>
      </c>
      <c r="C81">
        <v>35892191</v>
      </c>
      <c r="D81">
        <v>31475211</v>
      </c>
      <c r="E81">
        <v>1</v>
      </c>
      <c r="F81">
        <v>1</v>
      </c>
      <c r="G81">
        <v>1</v>
      </c>
      <c r="H81">
        <v>3</v>
      </c>
      <c r="I81" t="s">
        <v>388</v>
      </c>
      <c r="J81" t="s">
        <v>389</v>
      </c>
      <c r="K81" t="s">
        <v>390</v>
      </c>
      <c r="L81">
        <v>1346</v>
      </c>
      <c r="N81">
        <v>1009</v>
      </c>
      <c r="O81" t="s">
        <v>146</v>
      </c>
      <c r="P81" t="s">
        <v>146</v>
      </c>
      <c r="Q81">
        <v>1</v>
      </c>
      <c r="X81">
        <v>0.05</v>
      </c>
      <c r="Y81">
        <v>28.6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222</v>
      </c>
      <c r="AG81">
        <v>0</v>
      </c>
      <c r="AH81">
        <v>2</v>
      </c>
      <c r="AI81">
        <v>35892200</v>
      </c>
      <c r="AJ81">
        <v>87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ROW(Source!A92)</f>
        <v>92</v>
      </c>
      <c r="B82">
        <v>35892211</v>
      </c>
      <c r="C82">
        <v>35892191</v>
      </c>
      <c r="D82">
        <v>31435925</v>
      </c>
      <c r="E82">
        <v>17</v>
      </c>
      <c r="F82">
        <v>1</v>
      </c>
      <c r="G82">
        <v>1</v>
      </c>
      <c r="H82">
        <v>3</v>
      </c>
      <c r="I82" t="s">
        <v>369</v>
      </c>
      <c r="J82" t="s">
        <v>3</v>
      </c>
      <c r="K82" t="s">
        <v>370</v>
      </c>
      <c r="L82">
        <v>1374</v>
      </c>
      <c r="N82">
        <v>1013</v>
      </c>
      <c r="O82" t="s">
        <v>371</v>
      </c>
      <c r="P82" t="s">
        <v>371</v>
      </c>
      <c r="Q82">
        <v>1</v>
      </c>
      <c r="X82">
        <v>0.92</v>
      </c>
      <c r="Y82">
        <v>1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222</v>
      </c>
      <c r="AG82">
        <v>0</v>
      </c>
      <c r="AH82">
        <v>2</v>
      </c>
      <c r="AI82">
        <v>35892201</v>
      </c>
      <c r="AJ82">
        <v>88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ROW(Source!A93)</f>
        <v>93</v>
      </c>
      <c r="B83">
        <v>35892215</v>
      </c>
      <c r="C83">
        <v>35892212</v>
      </c>
      <c r="D83">
        <v>31709886</v>
      </c>
      <c r="E83">
        <v>1</v>
      </c>
      <c r="F83">
        <v>1</v>
      </c>
      <c r="G83">
        <v>1</v>
      </c>
      <c r="H83">
        <v>1</v>
      </c>
      <c r="I83" t="s">
        <v>367</v>
      </c>
      <c r="J83" t="s">
        <v>3</v>
      </c>
      <c r="K83" t="s">
        <v>368</v>
      </c>
      <c r="L83">
        <v>1191</v>
      </c>
      <c r="N83">
        <v>1013</v>
      </c>
      <c r="O83" t="s">
        <v>344</v>
      </c>
      <c r="P83" t="s">
        <v>344</v>
      </c>
      <c r="Q83">
        <v>1</v>
      </c>
      <c r="X83">
        <v>15.12</v>
      </c>
      <c r="Y83">
        <v>0</v>
      </c>
      <c r="Z83">
        <v>0</v>
      </c>
      <c r="AA83">
        <v>0</v>
      </c>
      <c r="AB83">
        <v>9.6199999999999992</v>
      </c>
      <c r="AC83">
        <v>0</v>
      </c>
      <c r="AD83">
        <v>1</v>
      </c>
      <c r="AE83">
        <v>1</v>
      </c>
      <c r="AF83" t="s">
        <v>223</v>
      </c>
      <c r="AG83">
        <v>12.700799999999999</v>
      </c>
      <c r="AH83">
        <v>2</v>
      </c>
      <c r="AI83">
        <v>35892213</v>
      </c>
      <c r="AJ83">
        <v>89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ROW(Source!A93)</f>
        <v>93</v>
      </c>
      <c r="B84">
        <v>35892216</v>
      </c>
      <c r="C84">
        <v>35892212</v>
      </c>
      <c r="D84">
        <v>31435925</v>
      </c>
      <c r="E84">
        <v>17</v>
      </c>
      <c r="F84">
        <v>1</v>
      </c>
      <c r="G84">
        <v>1</v>
      </c>
      <c r="H84">
        <v>3</v>
      </c>
      <c r="I84" t="s">
        <v>369</v>
      </c>
      <c r="J84" t="s">
        <v>3</v>
      </c>
      <c r="K84" t="s">
        <v>370</v>
      </c>
      <c r="L84">
        <v>1374</v>
      </c>
      <c r="N84">
        <v>1013</v>
      </c>
      <c r="O84" t="s">
        <v>371</v>
      </c>
      <c r="P84" t="s">
        <v>371</v>
      </c>
      <c r="Q84">
        <v>1</v>
      </c>
      <c r="X84">
        <v>2.91</v>
      </c>
      <c r="Y84">
        <v>1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222</v>
      </c>
      <c r="AG84">
        <v>0</v>
      </c>
      <c r="AH84">
        <v>2</v>
      </c>
      <c r="AI84">
        <v>35892214</v>
      </c>
      <c r="AJ84">
        <v>90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ROW(Source!A94)</f>
        <v>94</v>
      </c>
      <c r="B85">
        <v>35892224</v>
      </c>
      <c r="C85">
        <v>35892217</v>
      </c>
      <c r="D85">
        <v>31704098</v>
      </c>
      <c r="E85">
        <v>1</v>
      </c>
      <c r="F85">
        <v>1</v>
      </c>
      <c r="G85">
        <v>1</v>
      </c>
      <c r="H85">
        <v>1</v>
      </c>
      <c r="I85" t="s">
        <v>439</v>
      </c>
      <c r="J85" t="s">
        <v>3</v>
      </c>
      <c r="K85" t="s">
        <v>440</v>
      </c>
      <c r="L85">
        <v>1191</v>
      </c>
      <c r="N85">
        <v>1013</v>
      </c>
      <c r="O85" t="s">
        <v>344</v>
      </c>
      <c r="P85" t="s">
        <v>344</v>
      </c>
      <c r="Q85">
        <v>1</v>
      </c>
      <c r="X85">
        <v>35.64</v>
      </c>
      <c r="Y85">
        <v>0</v>
      </c>
      <c r="Z85">
        <v>0</v>
      </c>
      <c r="AA85">
        <v>0</v>
      </c>
      <c r="AB85">
        <v>8.5299999999999994</v>
      </c>
      <c r="AC85">
        <v>0</v>
      </c>
      <c r="AD85">
        <v>1</v>
      </c>
      <c r="AE85">
        <v>1</v>
      </c>
      <c r="AF85" t="s">
        <v>223</v>
      </c>
      <c r="AG85">
        <v>29.9376</v>
      </c>
      <c r="AH85">
        <v>2</v>
      </c>
      <c r="AI85">
        <v>35892218</v>
      </c>
      <c r="AJ85">
        <v>91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ROW(Source!A94)</f>
        <v>94</v>
      </c>
      <c r="B86">
        <v>35892225</v>
      </c>
      <c r="C86">
        <v>35892217</v>
      </c>
      <c r="D86">
        <v>31703727</v>
      </c>
      <c r="E86">
        <v>1</v>
      </c>
      <c r="F86">
        <v>1</v>
      </c>
      <c r="G86">
        <v>1</v>
      </c>
      <c r="H86">
        <v>1</v>
      </c>
      <c r="I86" t="s">
        <v>345</v>
      </c>
      <c r="J86" t="s">
        <v>3</v>
      </c>
      <c r="K86" t="s">
        <v>346</v>
      </c>
      <c r="L86">
        <v>1191</v>
      </c>
      <c r="N86">
        <v>1013</v>
      </c>
      <c r="O86" t="s">
        <v>344</v>
      </c>
      <c r="P86" t="s">
        <v>344</v>
      </c>
      <c r="Q86">
        <v>1</v>
      </c>
      <c r="X86">
        <v>22.48</v>
      </c>
      <c r="Y86">
        <v>0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2</v>
      </c>
      <c r="AF86" t="s">
        <v>223</v>
      </c>
      <c r="AG86">
        <v>18.883199999999999</v>
      </c>
      <c r="AH86">
        <v>2</v>
      </c>
      <c r="AI86">
        <v>35892219</v>
      </c>
      <c r="AJ86">
        <v>92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ROW(Source!A94)</f>
        <v>94</v>
      </c>
      <c r="B87">
        <v>35892226</v>
      </c>
      <c r="C87">
        <v>35892217</v>
      </c>
      <c r="D87">
        <v>31519053</v>
      </c>
      <c r="E87">
        <v>1</v>
      </c>
      <c r="F87">
        <v>1</v>
      </c>
      <c r="G87">
        <v>1</v>
      </c>
      <c r="H87">
        <v>2</v>
      </c>
      <c r="I87" t="s">
        <v>441</v>
      </c>
      <c r="J87" t="s">
        <v>442</v>
      </c>
      <c r="K87" t="s">
        <v>443</v>
      </c>
      <c r="L87">
        <v>1368</v>
      </c>
      <c r="N87">
        <v>1011</v>
      </c>
      <c r="O87" t="s">
        <v>350</v>
      </c>
      <c r="P87" t="s">
        <v>350</v>
      </c>
      <c r="Q87">
        <v>1</v>
      </c>
      <c r="X87">
        <v>10.93</v>
      </c>
      <c r="Y87">
        <v>0</v>
      </c>
      <c r="Z87">
        <v>138.54</v>
      </c>
      <c r="AA87">
        <v>11.6</v>
      </c>
      <c r="AB87">
        <v>0</v>
      </c>
      <c r="AC87">
        <v>0</v>
      </c>
      <c r="AD87">
        <v>1</v>
      </c>
      <c r="AE87">
        <v>0</v>
      </c>
      <c r="AF87" t="s">
        <v>223</v>
      </c>
      <c r="AG87">
        <v>9.1811999999999987</v>
      </c>
      <c r="AH87">
        <v>2</v>
      </c>
      <c r="AI87">
        <v>35892220</v>
      </c>
      <c r="AJ87">
        <v>93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ROW(Source!A94)</f>
        <v>94</v>
      </c>
      <c r="B88">
        <v>35892227</v>
      </c>
      <c r="C88">
        <v>35892217</v>
      </c>
      <c r="D88">
        <v>31520637</v>
      </c>
      <c r="E88">
        <v>1</v>
      </c>
      <c r="F88">
        <v>1</v>
      </c>
      <c r="G88">
        <v>1</v>
      </c>
      <c r="H88">
        <v>2</v>
      </c>
      <c r="I88" t="s">
        <v>444</v>
      </c>
      <c r="J88" t="s">
        <v>445</v>
      </c>
      <c r="K88" t="s">
        <v>446</v>
      </c>
      <c r="L88">
        <v>1368</v>
      </c>
      <c r="N88">
        <v>1011</v>
      </c>
      <c r="O88" t="s">
        <v>350</v>
      </c>
      <c r="P88" t="s">
        <v>350</v>
      </c>
      <c r="Q88">
        <v>1</v>
      </c>
      <c r="X88">
        <v>10.74</v>
      </c>
      <c r="Y88">
        <v>0</v>
      </c>
      <c r="Z88">
        <v>173.51</v>
      </c>
      <c r="AA88">
        <v>13.5</v>
      </c>
      <c r="AB88">
        <v>0</v>
      </c>
      <c r="AC88">
        <v>0</v>
      </c>
      <c r="AD88">
        <v>1</v>
      </c>
      <c r="AE88">
        <v>0</v>
      </c>
      <c r="AF88" t="s">
        <v>223</v>
      </c>
      <c r="AG88">
        <v>9.0215999999999994</v>
      </c>
      <c r="AH88">
        <v>2</v>
      </c>
      <c r="AI88">
        <v>35892221</v>
      </c>
      <c r="AJ88">
        <v>94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ROW(Source!A94)</f>
        <v>94</v>
      </c>
      <c r="B89">
        <v>35892228</v>
      </c>
      <c r="C89">
        <v>35892217</v>
      </c>
      <c r="D89">
        <v>31520646</v>
      </c>
      <c r="E89">
        <v>1</v>
      </c>
      <c r="F89">
        <v>1</v>
      </c>
      <c r="G89">
        <v>1</v>
      </c>
      <c r="H89">
        <v>2</v>
      </c>
      <c r="I89" t="s">
        <v>362</v>
      </c>
      <c r="J89" t="s">
        <v>363</v>
      </c>
      <c r="K89" t="s">
        <v>364</v>
      </c>
      <c r="L89">
        <v>1368</v>
      </c>
      <c r="N89">
        <v>1011</v>
      </c>
      <c r="O89" t="s">
        <v>350</v>
      </c>
      <c r="P89" t="s">
        <v>350</v>
      </c>
      <c r="Q89">
        <v>1</v>
      </c>
      <c r="X89">
        <v>0.81</v>
      </c>
      <c r="Y89">
        <v>0</v>
      </c>
      <c r="Z89">
        <v>65.709999999999994</v>
      </c>
      <c r="AA89">
        <v>11.6</v>
      </c>
      <c r="AB89">
        <v>0</v>
      </c>
      <c r="AC89">
        <v>0</v>
      </c>
      <c r="AD89">
        <v>1</v>
      </c>
      <c r="AE89">
        <v>0</v>
      </c>
      <c r="AF89" t="s">
        <v>223</v>
      </c>
      <c r="AG89">
        <v>0.68039999999999989</v>
      </c>
      <c r="AH89">
        <v>2</v>
      </c>
      <c r="AI89">
        <v>35892222</v>
      </c>
      <c r="AJ89">
        <v>95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ROW(Source!A94)</f>
        <v>94</v>
      </c>
      <c r="B90">
        <v>35892229</v>
      </c>
      <c r="C90">
        <v>35892217</v>
      </c>
      <c r="D90">
        <v>31433030</v>
      </c>
      <c r="E90">
        <v>17</v>
      </c>
      <c r="F90">
        <v>1</v>
      </c>
      <c r="G90">
        <v>1</v>
      </c>
      <c r="H90">
        <v>3</v>
      </c>
      <c r="I90" t="s">
        <v>461</v>
      </c>
      <c r="J90" t="s">
        <v>3</v>
      </c>
      <c r="K90" t="s">
        <v>462</v>
      </c>
      <c r="L90">
        <v>1339</v>
      </c>
      <c r="N90">
        <v>1007</v>
      </c>
      <c r="O90" t="s">
        <v>50</v>
      </c>
      <c r="P90" t="s">
        <v>50</v>
      </c>
      <c r="Q90">
        <v>1</v>
      </c>
      <c r="X90">
        <v>6.34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 t="s">
        <v>222</v>
      </c>
      <c r="AG90">
        <v>0</v>
      </c>
      <c r="AH90">
        <v>3</v>
      </c>
      <c r="AI90">
        <v>-1</v>
      </c>
      <c r="AJ90" t="s">
        <v>3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ROW(Source!A94)</f>
        <v>94</v>
      </c>
      <c r="B91">
        <v>35892230</v>
      </c>
      <c r="C91">
        <v>35892217</v>
      </c>
      <c r="D91">
        <v>31432981</v>
      </c>
      <c r="E91">
        <v>17</v>
      </c>
      <c r="F91">
        <v>1</v>
      </c>
      <c r="G91">
        <v>1</v>
      </c>
      <c r="H91">
        <v>3</v>
      </c>
      <c r="I91" t="s">
        <v>463</v>
      </c>
      <c r="J91" t="s">
        <v>3</v>
      </c>
      <c r="K91" t="s">
        <v>464</v>
      </c>
      <c r="L91">
        <v>1354</v>
      </c>
      <c r="N91">
        <v>1010</v>
      </c>
      <c r="O91" t="s">
        <v>97</v>
      </c>
      <c r="P91" t="s">
        <v>97</v>
      </c>
      <c r="Q91">
        <v>1</v>
      </c>
      <c r="X91">
        <v>100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 t="s">
        <v>222</v>
      </c>
      <c r="AG91">
        <v>0</v>
      </c>
      <c r="AH91">
        <v>3</v>
      </c>
      <c r="AI91">
        <v>-1</v>
      </c>
      <c r="AJ91" t="s">
        <v>3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ROW(Source!A94)</f>
        <v>94</v>
      </c>
      <c r="B92">
        <v>35892231</v>
      </c>
      <c r="C92">
        <v>35892217</v>
      </c>
      <c r="D92">
        <v>31467157</v>
      </c>
      <c r="E92">
        <v>1</v>
      </c>
      <c r="F92">
        <v>1</v>
      </c>
      <c r="G92">
        <v>1</v>
      </c>
      <c r="H92">
        <v>3</v>
      </c>
      <c r="I92" t="s">
        <v>447</v>
      </c>
      <c r="J92" t="s">
        <v>448</v>
      </c>
      <c r="K92" t="s">
        <v>449</v>
      </c>
      <c r="L92">
        <v>1301</v>
      </c>
      <c r="N92">
        <v>1003</v>
      </c>
      <c r="O92" t="s">
        <v>88</v>
      </c>
      <c r="P92" t="s">
        <v>88</v>
      </c>
      <c r="Q92">
        <v>1</v>
      </c>
      <c r="X92">
        <v>55.9</v>
      </c>
      <c r="Y92">
        <v>4.17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222</v>
      </c>
      <c r="AG92">
        <v>0</v>
      </c>
      <c r="AH92">
        <v>2</v>
      </c>
      <c r="AI92">
        <v>35892223</v>
      </c>
      <c r="AJ92">
        <v>96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ROW(Source!A95)</f>
        <v>95</v>
      </c>
      <c r="B93">
        <v>35892237</v>
      </c>
      <c r="C93">
        <v>35892232</v>
      </c>
      <c r="D93">
        <v>31704098</v>
      </c>
      <c r="E93">
        <v>1</v>
      </c>
      <c r="F93">
        <v>1</v>
      </c>
      <c r="G93">
        <v>1</v>
      </c>
      <c r="H93">
        <v>1</v>
      </c>
      <c r="I93" t="s">
        <v>439</v>
      </c>
      <c r="J93" t="s">
        <v>3</v>
      </c>
      <c r="K93" t="s">
        <v>440</v>
      </c>
      <c r="L93">
        <v>1191</v>
      </c>
      <c r="N93">
        <v>1013</v>
      </c>
      <c r="O93" t="s">
        <v>344</v>
      </c>
      <c r="P93" t="s">
        <v>344</v>
      </c>
      <c r="Q93">
        <v>1</v>
      </c>
      <c r="X93">
        <v>7.11</v>
      </c>
      <c r="Y93">
        <v>0</v>
      </c>
      <c r="Z93">
        <v>0</v>
      </c>
      <c r="AA93">
        <v>0</v>
      </c>
      <c r="AB93">
        <v>8.5299999999999994</v>
      </c>
      <c r="AC93">
        <v>0</v>
      </c>
      <c r="AD93">
        <v>1</v>
      </c>
      <c r="AE93">
        <v>1</v>
      </c>
      <c r="AF93" t="s">
        <v>223</v>
      </c>
      <c r="AG93">
        <v>5.9724000000000004</v>
      </c>
      <c r="AH93">
        <v>2</v>
      </c>
      <c r="AI93">
        <v>35892233</v>
      </c>
      <c r="AJ93">
        <v>97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ROW(Source!A95)</f>
        <v>95</v>
      </c>
      <c r="B94">
        <v>35892238</v>
      </c>
      <c r="C94">
        <v>35892232</v>
      </c>
      <c r="D94">
        <v>31703727</v>
      </c>
      <c r="E94">
        <v>1</v>
      </c>
      <c r="F94">
        <v>1</v>
      </c>
      <c r="G94">
        <v>1</v>
      </c>
      <c r="H94">
        <v>1</v>
      </c>
      <c r="I94" t="s">
        <v>345</v>
      </c>
      <c r="J94" t="s">
        <v>3</v>
      </c>
      <c r="K94" t="s">
        <v>346</v>
      </c>
      <c r="L94">
        <v>1191</v>
      </c>
      <c r="N94">
        <v>1013</v>
      </c>
      <c r="O94" t="s">
        <v>344</v>
      </c>
      <c r="P94" t="s">
        <v>344</v>
      </c>
      <c r="Q94">
        <v>1</v>
      </c>
      <c r="X94">
        <v>0.68</v>
      </c>
      <c r="Y94">
        <v>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2</v>
      </c>
      <c r="AF94" t="s">
        <v>223</v>
      </c>
      <c r="AG94">
        <v>0.57119999999999993</v>
      </c>
      <c r="AH94">
        <v>2</v>
      </c>
      <c r="AI94">
        <v>35892234</v>
      </c>
      <c r="AJ94">
        <v>98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ROW(Source!A95)</f>
        <v>95</v>
      </c>
      <c r="B95">
        <v>35892239</v>
      </c>
      <c r="C95">
        <v>35892232</v>
      </c>
      <c r="D95">
        <v>31520646</v>
      </c>
      <c r="E95">
        <v>1</v>
      </c>
      <c r="F95">
        <v>1</v>
      </c>
      <c r="G95">
        <v>1</v>
      </c>
      <c r="H95">
        <v>2</v>
      </c>
      <c r="I95" t="s">
        <v>362</v>
      </c>
      <c r="J95" t="s">
        <v>363</v>
      </c>
      <c r="K95" t="s">
        <v>364</v>
      </c>
      <c r="L95">
        <v>1368</v>
      </c>
      <c r="N95">
        <v>1011</v>
      </c>
      <c r="O95" t="s">
        <v>350</v>
      </c>
      <c r="P95" t="s">
        <v>350</v>
      </c>
      <c r="Q95">
        <v>1</v>
      </c>
      <c r="X95">
        <v>0.11</v>
      </c>
      <c r="Y95">
        <v>0</v>
      </c>
      <c r="Z95">
        <v>65.709999999999994</v>
      </c>
      <c r="AA95">
        <v>11.6</v>
      </c>
      <c r="AB95">
        <v>0</v>
      </c>
      <c r="AC95">
        <v>0</v>
      </c>
      <c r="AD95">
        <v>1</v>
      </c>
      <c r="AE95">
        <v>0</v>
      </c>
      <c r="AF95" t="s">
        <v>223</v>
      </c>
      <c r="AG95">
        <v>9.2399999999999996E-2</v>
      </c>
      <c r="AH95">
        <v>2</v>
      </c>
      <c r="AI95">
        <v>35892235</v>
      </c>
      <c r="AJ95">
        <v>99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ROW(Source!A95)</f>
        <v>95</v>
      </c>
      <c r="B96">
        <v>35892240</v>
      </c>
      <c r="C96">
        <v>35892232</v>
      </c>
      <c r="D96">
        <v>31520777</v>
      </c>
      <c r="E96">
        <v>1</v>
      </c>
      <c r="F96">
        <v>1</v>
      </c>
      <c r="G96">
        <v>1</v>
      </c>
      <c r="H96">
        <v>2</v>
      </c>
      <c r="I96" t="s">
        <v>450</v>
      </c>
      <c r="J96" t="s">
        <v>451</v>
      </c>
      <c r="K96" t="s">
        <v>452</v>
      </c>
      <c r="L96">
        <v>1368</v>
      </c>
      <c r="N96">
        <v>1011</v>
      </c>
      <c r="O96" t="s">
        <v>350</v>
      </c>
      <c r="P96" t="s">
        <v>350</v>
      </c>
      <c r="Q96">
        <v>1</v>
      </c>
      <c r="X96">
        <v>0.56999999999999995</v>
      </c>
      <c r="Y96">
        <v>0</v>
      </c>
      <c r="Z96">
        <v>22.29</v>
      </c>
      <c r="AA96">
        <v>11.6</v>
      </c>
      <c r="AB96">
        <v>0</v>
      </c>
      <c r="AC96">
        <v>0</v>
      </c>
      <c r="AD96">
        <v>1</v>
      </c>
      <c r="AE96">
        <v>0</v>
      </c>
      <c r="AF96" t="s">
        <v>223</v>
      </c>
      <c r="AG96">
        <v>0.47879999999999995</v>
      </c>
      <c r="AH96">
        <v>2</v>
      </c>
      <c r="AI96">
        <v>35892236</v>
      </c>
      <c r="AJ96">
        <v>100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ROW(Source!A95)</f>
        <v>95</v>
      </c>
      <c r="B97">
        <v>35892241</v>
      </c>
      <c r="C97">
        <v>35892232</v>
      </c>
      <c r="D97">
        <v>31433789</v>
      </c>
      <c r="E97">
        <v>17</v>
      </c>
      <c r="F97">
        <v>1</v>
      </c>
      <c r="G97">
        <v>1</v>
      </c>
      <c r="H97">
        <v>3</v>
      </c>
      <c r="I97" t="s">
        <v>465</v>
      </c>
      <c r="J97" t="s">
        <v>3</v>
      </c>
      <c r="K97" t="s">
        <v>466</v>
      </c>
      <c r="L97">
        <v>1035</v>
      </c>
      <c r="N97">
        <v>1013</v>
      </c>
      <c r="O97" t="s">
        <v>467</v>
      </c>
      <c r="P97" t="s">
        <v>467</v>
      </c>
      <c r="Q97">
        <v>1</v>
      </c>
      <c r="X97">
        <v>120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 t="s">
        <v>222</v>
      </c>
      <c r="AG97">
        <v>0</v>
      </c>
      <c r="AH97">
        <v>3</v>
      </c>
      <c r="AI97">
        <v>-1</v>
      </c>
      <c r="AJ97" t="s">
        <v>3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ROW(Source!A95)</f>
        <v>95</v>
      </c>
      <c r="B98">
        <v>35892242</v>
      </c>
      <c r="C98">
        <v>35892232</v>
      </c>
      <c r="D98">
        <v>31433797</v>
      </c>
      <c r="E98">
        <v>17</v>
      </c>
      <c r="F98">
        <v>1</v>
      </c>
      <c r="G98">
        <v>1</v>
      </c>
      <c r="H98">
        <v>3</v>
      </c>
      <c r="I98" t="s">
        <v>468</v>
      </c>
      <c r="J98" t="s">
        <v>3</v>
      </c>
      <c r="K98" t="s">
        <v>469</v>
      </c>
      <c r="L98">
        <v>1354</v>
      </c>
      <c r="N98">
        <v>1010</v>
      </c>
      <c r="O98" t="s">
        <v>97</v>
      </c>
      <c r="P98" t="s">
        <v>97</v>
      </c>
      <c r="Q98">
        <v>1</v>
      </c>
      <c r="X98">
        <v>10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 t="s">
        <v>222</v>
      </c>
      <c r="AG98">
        <v>0</v>
      </c>
      <c r="AH98">
        <v>3</v>
      </c>
      <c r="AI98">
        <v>-1</v>
      </c>
      <c r="AJ98" t="s">
        <v>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ROW(Source!A96)</f>
        <v>96</v>
      </c>
      <c r="B99">
        <v>35892248</v>
      </c>
      <c r="C99">
        <v>35892243</v>
      </c>
      <c r="D99">
        <v>31704098</v>
      </c>
      <c r="E99">
        <v>1</v>
      </c>
      <c r="F99">
        <v>1</v>
      </c>
      <c r="G99">
        <v>1</v>
      </c>
      <c r="H99">
        <v>1</v>
      </c>
      <c r="I99" t="s">
        <v>439</v>
      </c>
      <c r="J99" t="s">
        <v>3</v>
      </c>
      <c r="K99" t="s">
        <v>440</v>
      </c>
      <c r="L99">
        <v>1191</v>
      </c>
      <c r="N99">
        <v>1013</v>
      </c>
      <c r="O99" t="s">
        <v>344</v>
      </c>
      <c r="P99" t="s">
        <v>344</v>
      </c>
      <c r="Q99">
        <v>1</v>
      </c>
      <c r="X99">
        <v>3.31</v>
      </c>
      <c r="Y99">
        <v>0</v>
      </c>
      <c r="Z99">
        <v>0</v>
      </c>
      <c r="AA99">
        <v>0</v>
      </c>
      <c r="AB99">
        <v>8.5299999999999994</v>
      </c>
      <c r="AC99">
        <v>0</v>
      </c>
      <c r="AD99">
        <v>1</v>
      </c>
      <c r="AE99">
        <v>1</v>
      </c>
      <c r="AF99" t="s">
        <v>223</v>
      </c>
      <c r="AG99">
        <v>2.7803999999999998</v>
      </c>
      <c r="AH99">
        <v>2</v>
      </c>
      <c r="AI99">
        <v>35892244</v>
      </c>
      <c r="AJ99">
        <v>101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ROW(Source!A96)</f>
        <v>96</v>
      </c>
      <c r="B100">
        <v>35892249</v>
      </c>
      <c r="C100">
        <v>35892243</v>
      </c>
      <c r="D100">
        <v>31703727</v>
      </c>
      <c r="E100">
        <v>1</v>
      </c>
      <c r="F100">
        <v>1</v>
      </c>
      <c r="G100">
        <v>1</v>
      </c>
      <c r="H100">
        <v>1</v>
      </c>
      <c r="I100" t="s">
        <v>345</v>
      </c>
      <c r="J100" t="s">
        <v>3</v>
      </c>
      <c r="K100" t="s">
        <v>346</v>
      </c>
      <c r="L100">
        <v>1191</v>
      </c>
      <c r="N100">
        <v>1013</v>
      </c>
      <c r="O100" t="s">
        <v>344</v>
      </c>
      <c r="P100" t="s">
        <v>344</v>
      </c>
      <c r="Q100">
        <v>1</v>
      </c>
      <c r="X100">
        <v>0.4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2</v>
      </c>
      <c r="AF100" t="s">
        <v>223</v>
      </c>
      <c r="AG100">
        <v>0.33599999999999997</v>
      </c>
      <c r="AH100">
        <v>2</v>
      </c>
      <c r="AI100">
        <v>35892245</v>
      </c>
      <c r="AJ100">
        <v>102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ROW(Source!A96)</f>
        <v>96</v>
      </c>
      <c r="B101">
        <v>35892250</v>
      </c>
      <c r="C101">
        <v>35892243</v>
      </c>
      <c r="D101">
        <v>31520646</v>
      </c>
      <c r="E101">
        <v>1</v>
      </c>
      <c r="F101">
        <v>1</v>
      </c>
      <c r="G101">
        <v>1</v>
      </c>
      <c r="H101">
        <v>2</v>
      </c>
      <c r="I101" t="s">
        <v>362</v>
      </c>
      <c r="J101" t="s">
        <v>363</v>
      </c>
      <c r="K101" t="s">
        <v>364</v>
      </c>
      <c r="L101">
        <v>1368</v>
      </c>
      <c r="N101">
        <v>1011</v>
      </c>
      <c r="O101" t="s">
        <v>350</v>
      </c>
      <c r="P101" t="s">
        <v>350</v>
      </c>
      <c r="Q101">
        <v>1</v>
      </c>
      <c r="X101">
        <v>0.12</v>
      </c>
      <c r="Y101">
        <v>0</v>
      </c>
      <c r="Z101">
        <v>65.709999999999994</v>
      </c>
      <c r="AA101">
        <v>11.6</v>
      </c>
      <c r="AB101">
        <v>0</v>
      </c>
      <c r="AC101">
        <v>0</v>
      </c>
      <c r="AD101">
        <v>1</v>
      </c>
      <c r="AE101">
        <v>0</v>
      </c>
      <c r="AF101" t="s">
        <v>223</v>
      </c>
      <c r="AG101">
        <v>0.10079999999999999</v>
      </c>
      <c r="AH101">
        <v>2</v>
      </c>
      <c r="AI101">
        <v>35892246</v>
      </c>
      <c r="AJ101">
        <v>103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ROW(Source!A96)</f>
        <v>96</v>
      </c>
      <c r="B102">
        <v>35892251</v>
      </c>
      <c r="C102">
        <v>35892243</v>
      </c>
      <c r="D102">
        <v>31520777</v>
      </c>
      <c r="E102">
        <v>1</v>
      </c>
      <c r="F102">
        <v>1</v>
      </c>
      <c r="G102">
        <v>1</v>
      </c>
      <c r="H102">
        <v>2</v>
      </c>
      <c r="I102" t="s">
        <v>450</v>
      </c>
      <c r="J102" t="s">
        <v>451</v>
      </c>
      <c r="K102" t="s">
        <v>452</v>
      </c>
      <c r="L102">
        <v>1368</v>
      </c>
      <c r="N102">
        <v>1011</v>
      </c>
      <c r="O102" t="s">
        <v>350</v>
      </c>
      <c r="P102" t="s">
        <v>350</v>
      </c>
      <c r="Q102">
        <v>1</v>
      </c>
      <c r="X102">
        <v>0.28000000000000003</v>
      </c>
      <c r="Y102">
        <v>0</v>
      </c>
      <c r="Z102">
        <v>22.29</v>
      </c>
      <c r="AA102">
        <v>11.6</v>
      </c>
      <c r="AB102">
        <v>0</v>
      </c>
      <c r="AC102">
        <v>0</v>
      </c>
      <c r="AD102">
        <v>1</v>
      </c>
      <c r="AE102">
        <v>0</v>
      </c>
      <c r="AF102" t="s">
        <v>223</v>
      </c>
      <c r="AG102">
        <v>0.23519999999999999</v>
      </c>
      <c r="AH102">
        <v>2</v>
      </c>
      <c r="AI102">
        <v>35892247</v>
      </c>
      <c r="AJ102">
        <v>104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ROW(Source!A96)</f>
        <v>96</v>
      </c>
      <c r="B103">
        <v>35892252</v>
      </c>
      <c r="C103">
        <v>35892243</v>
      </c>
      <c r="D103">
        <v>31433789</v>
      </c>
      <c r="E103">
        <v>17</v>
      </c>
      <c r="F103">
        <v>1</v>
      </c>
      <c r="G103">
        <v>1</v>
      </c>
      <c r="H103">
        <v>3</v>
      </c>
      <c r="I103" t="s">
        <v>465</v>
      </c>
      <c r="J103" t="s">
        <v>3</v>
      </c>
      <c r="K103" t="s">
        <v>466</v>
      </c>
      <c r="L103">
        <v>1035</v>
      </c>
      <c r="N103">
        <v>1013</v>
      </c>
      <c r="O103" t="s">
        <v>467</v>
      </c>
      <c r="P103" t="s">
        <v>467</v>
      </c>
      <c r="Q103">
        <v>1</v>
      </c>
      <c r="X103">
        <v>20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 t="s">
        <v>222</v>
      </c>
      <c r="AG103">
        <v>0</v>
      </c>
      <c r="AH103">
        <v>3</v>
      </c>
      <c r="AI103">
        <v>-1</v>
      </c>
      <c r="AJ103" t="s">
        <v>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ROW(Source!A96)</f>
        <v>96</v>
      </c>
      <c r="B104">
        <v>35892253</v>
      </c>
      <c r="C104">
        <v>35892243</v>
      </c>
      <c r="D104">
        <v>31433513</v>
      </c>
      <c r="E104">
        <v>17</v>
      </c>
      <c r="F104">
        <v>1</v>
      </c>
      <c r="G104">
        <v>1</v>
      </c>
      <c r="H104">
        <v>3</v>
      </c>
      <c r="I104" t="s">
        <v>470</v>
      </c>
      <c r="J104" t="s">
        <v>3</v>
      </c>
      <c r="K104" t="s">
        <v>471</v>
      </c>
      <c r="L104">
        <v>1354</v>
      </c>
      <c r="N104">
        <v>1010</v>
      </c>
      <c r="O104" t="s">
        <v>97</v>
      </c>
      <c r="P104" t="s">
        <v>97</v>
      </c>
      <c r="Q104">
        <v>1</v>
      </c>
      <c r="X104">
        <v>10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 t="s">
        <v>222</v>
      </c>
      <c r="AG104">
        <v>0</v>
      </c>
      <c r="AH104">
        <v>3</v>
      </c>
      <c r="AI104">
        <v>-1</v>
      </c>
      <c r="AJ104" t="s">
        <v>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ROW(Source!A166)</f>
        <v>166</v>
      </c>
      <c r="B105">
        <v>35892266</v>
      </c>
      <c r="C105">
        <v>35892263</v>
      </c>
      <c r="D105">
        <v>32162297</v>
      </c>
      <c r="E105">
        <v>1</v>
      </c>
      <c r="F105">
        <v>1</v>
      </c>
      <c r="G105">
        <v>1</v>
      </c>
      <c r="H105">
        <v>1</v>
      </c>
      <c r="I105" t="s">
        <v>453</v>
      </c>
      <c r="J105" t="s">
        <v>3</v>
      </c>
      <c r="K105" t="s">
        <v>454</v>
      </c>
      <c r="L105">
        <v>1191</v>
      </c>
      <c r="N105">
        <v>1013</v>
      </c>
      <c r="O105" t="s">
        <v>344</v>
      </c>
      <c r="P105" t="s">
        <v>344</v>
      </c>
      <c r="Q105">
        <v>1</v>
      </c>
      <c r="X105">
        <v>0.41</v>
      </c>
      <c r="Y105">
        <v>0</v>
      </c>
      <c r="Z105">
        <v>0</v>
      </c>
      <c r="AA105">
        <v>0</v>
      </c>
      <c r="AB105">
        <v>12.92</v>
      </c>
      <c r="AC105">
        <v>0</v>
      </c>
      <c r="AD105">
        <v>1</v>
      </c>
      <c r="AE105">
        <v>1</v>
      </c>
      <c r="AF105" t="s">
        <v>40</v>
      </c>
      <c r="AG105">
        <v>0.49199999999999994</v>
      </c>
      <c r="AH105">
        <v>2</v>
      </c>
      <c r="AI105">
        <v>35892264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ROW(Source!A166)</f>
        <v>166</v>
      </c>
      <c r="B106">
        <v>35892267</v>
      </c>
      <c r="C106">
        <v>35892263</v>
      </c>
      <c r="D106">
        <v>32161334</v>
      </c>
      <c r="E106">
        <v>1</v>
      </c>
      <c r="F106">
        <v>1</v>
      </c>
      <c r="G106">
        <v>1</v>
      </c>
      <c r="H106">
        <v>1</v>
      </c>
      <c r="I106" t="s">
        <v>455</v>
      </c>
      <c r="J106" t="s">
        <v>3</v>
      </c>
      <c r="K106" t="s">
        <v>456</v>
      </c>
      <c r="L106">
        <v>1191</v>
      </c>
      <c r="N106">
        <v>1013</v>
      </c>
      <c r="O106" t="s">
        <v>344</v>
      </c>
      <c r="P106" t="s">
        <v>344</v>
      </c>
      <c r="Q106">
        <v>1</v>
      </c>
      <c r="X106">
        <v>0.41</v>
      </c>
      <c r="Y106">
        <v>0</v>
      </c>
      <c r="Z106">
        <v>0</v>
      </c>
      <c r="AA106">
        <v>0</v>
      </c>
      <c r="AB106">
        <v>12.69</v>
      </c>
      <c r="AC106">
        <v>0</v>
      </c>
      <c r="AD106">
        <v>1</v>
      </c>
      <c r="AE106">
        <v>1</v>
      </c>
      <c r="AF106" t="s">
        <v>40</v>
      </c>
      <c r="AG106">
        <v>0.49199999999999994</v>
      </c>
      <c r="AH106">
        <v>2</v>
      </c>
      <c r="AI106">
        <v>35892265</v>
      </c>
      <c r="AJ106">
        <v>106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ROW(Source!A167)</f>
        <v>167</v>
      </c>
      <c r="B107">
        <v>35892271</v>
      </c>
      <c r="C107">
        <v>35892268</v>
      </c>
      <c r="D107">
        <v>32162297</v>
      </c>
      <c r="E107">
        <v>1</v>
      </c>
      <c r="F107">
        <v>1</v>
      </c>
      <c r="G107">
        <v>1</v>
      </c>
      <c r="H107">
        <v>1</v>
      </c>
      <c r="I107" t="s">
        <v>453</v>
      </c>
      <c r="J107" t="s">
        <v>3</v>
      </c>
      <c r="K107" t="s">
        <v>454</v>
      </c>
      <c r="L107">
        <v>1191</v>
      </c>
      <c r="N107">
        <v>1013</v>
      </c>
      <c r="O107" t="s">
        <v>344</v>
      </c>
      <c r="P107" t="s">
        <v>344</v>
      </c>
      <c r="Q107">
        <v>1</v>
      </c>
      <c r="X107">
        <v>0.16</v>
      </c>
      <c r="Y107">
        <v>0</v>
      </c>
      <c r="Z107">
        <v>0</v>
      </c>
      <c r="AA107">
        <v>0</v>
      </c>
      <c r="AB107">
        <v>12.92</v>
      </c>
      <c r="AC107">
        <v>0</v>
      </c>
      <c r="AD107">
        <v>1</v>
      </c>
      <c r="AE107">
        <v>1</v>
      </c>
      <c r="AF107" t="s">
        <v>275</v>
      </c>
      <c r="AG107">
        <v>0.24960000000000002</v>
      </c>
      <c r="AH107">
        <v>2</v>
      </c>
      <c r="AI107">
        <v>35892269</v>
      </c>
      <c r="AJ107">
        <v>107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ROW(Source!A167)</f>
        <v>167</v>
      </c>
      <c r="B108">
        <v>35892272</v>
      </c>
      <c r="C108">
        <v>35892268</v>
      </c>
      <c r="D108">
        <v>32161334</v>
      </c>
      <c r="E108">
        <v>1</v>
      </c>
      <c r="F108">
        <v>1</v>
      </c>
      <c r="G108">
        <v>1</v>
      </c>
      <c r="H108">
        <v>1</v>
      </c>
      <c r="I108" t="s">
        <v>455</v>
      </c>
      <c r="J108" t="s">
        <v>3</v>
      </c>
      <c r="K108" t="s">
        <v>456</v>
      </c>
      <c r="L108">
        <v>1191</v>
      </c>
      <c r="N108">
        <v>1013</v>
      </c>
      <c r="O108" t="s">
        <v>344</v>
      </c>
      <c r="P108" t="s">
        <v>344</v>
      </c>
      <c r="Q108">
        <v>1</v>
      </c>
      <c r="X108">
        <v>0.16</v>
      </c>
      <c r="Y108">
        <v>0</v>
      </c>
      <c r="Z108">
        <v>0</v>
      </c>
      <c r="AA108">
        <v>0</v>
      </c>
      <c r="AB108">
        <v>12.69</v>
      </c>
      <c r="AC108">
        <v>0</v>
      </c>
      <c r="AD108">
        <v>1</v>
      </c>
      <c r="AE108">
        <v>1</v>
      </c>
      <c r="AF108" t="s">
        <v>275</v>
      </c>
      <c r="AG108">
        <v>0.24960000000000002</v>
      </c>
      <c r="AH108">
        <v>2</v>
      </c>
      <c r="AI108">
        <v>35892270</v>
      </c>
      <c r="AJ108">
        <v>108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10 гр. по ФЕР</vt:lpstr>
      <vt:lpstr>Source</vt:lpstr>
      <vt:lpstr>SourceObSm</vt:lpstr>
      <vt:lpstr>SmtRes</vt:lpstr>
      <vt:lpstr>EtalonRes</vt:lpstr>
      <vt:lpstr>'Смета 10 гр. по ФЕР'!Заголовки_для_печати</vt:lpstr>
      <vt:lpstr>'Смета 10 гр. по ФЕР'!Область_печати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Moiseikina Mariya</dc:creator>
  <cp:lastModifiedBy>Moiseikina Mariya</cp:lastModifiedBy>
  <cp:lastPrinted>2018-06-07T10:52:09Z</cp:lastPrinted>
  <dcterms:created xsi:type="dcterms:W3CDTF">2018-06-07T10:17:17Z</dcterms:created>
  <dcterms:modified xsi:type="dcterms:W3CDTF">2018-06-29T13:21:53Z</dcterms:modified>
</cp:coreProperties>
</file>